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drawings/drawing6.xml" ContentType="application/vnd.openxmlformats-officedocument.drawingml.chartshapes+xml"/>
  <Override PartName="/xl/workbook.xml" ContentType="application/vnd.openxmlformats-officedocument.spreadsheetml.sheet.main+xml"/>
  <Override PartName="/xl/worksheets/sheet5.xml" ContentType="application/vnd.openxmlformats-officedocument.spreadsheetml.worksheet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pivotTables/pivotTable4.xml" ContentType="application/vnd.openxmlformats-officedocument.spreadsheetml.pivotTable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pivotTables/pivotTable3.xml" ContentType="application/vnd.openxmlformats-officedocument.spreadsheetml.pivotTable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pivotTables/pivotTable2.xml" ContentType="application/vnd.openxmlformats-officedocument.spreadsheetml.pivotTable+xml"/>
  <Override PartName="/xl/worksheets/sheet1.xml" ContentType="application/vnd.openxmlformats-officedocument.spreadsheetml.worksheet+xml"/>
  <Override PartName="/xl/worksheets/sheet6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worksheets/sheet11.xml" ContentType="application/vnd.openxmlformats-officedocument.spreadsheetml.worksheet+xml"/>
  <Override PartName="/xl/worksheets/sheet10.xml" ContentType="application/vnd.openxmlformats-officedocument.spreadsheetml.worksheet+xml"/>
  <Override PartName="/xl/worksheets/sheet9.xml" ContentType="application/vnd.openxmlformats-officedocument.spreadsheetml.worksheet+xml"/>
  <Override PartName="/xl/worksheets/sheet8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drawings/drawing3.xml" ContentType="application/vnd.openxmlformats-officedocument.drawing+xml"/>
  <Override PartName="/xl/pivotCache/pivotCacheRecords1.xml" ContentType="application/vnd.openxmlformats-officedocument.spreadsheetml.pivotCacheRecords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comments3.xml" ContentType="application/vnd.openxmlformats-officedocument.spreadsheetml.comments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Definition2.xml" ContentType="application/vnd.openxmlformats-officedocument.spreadsheetml.pivotCacheDefinition+xml"/>
  <Override PartName="/xl/comments5.xml" ContentType="application/vnd.openxmlformats-officedocument.spreadsheetml.comment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xl/comments1.xml" ContentType="application/vnd.openxmlformats-officedocument.spreadsheetml.comments+xml"/>
  <Override PartName="/docProps/app.xml" ContentType="application/vnd.openxmlformats-officedocument.extended-properties+xml"/>
  <Override PartName="/xl/comments4.xml" ContentType="application/vnd.openxmlformats-officedocument.spreadsheetml.comments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comments2.xml" ContentType="application/vnd.openxmlformats-officedocument.spreadsheetml.comment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showInkAnnotation="0" hidePivotFieldList="1" defaultThemeVersion="124226"/>
  <bookViews>
    <workbookView xWindow="240" yWindow="75" windowWidth="18990" windowHeight="6660" tabRatio="890"/>
  </bookViews>
  <sheets>
    <sheet name="Base Distribution" sheetId="4" r:id="rId1"/>
    <sheet name="Stock de Contingence" sheetId="8" r:id="rId2"/>
    <sheet name="Analyse NFI-Agence" sheetId="34" r:id="rId3"/>
    <sheet name="Analyse NFI-Region" sheetId="30" r:id="rId4"/>
    <sheet name="Analyse Agence-Béneficiaires" sheetId="36" r:id="rId5"/>
    <sheet name="Control" sheetId="5" state="hidden" r:id="rId6"/>
    <sheet name="Pcode" sheetId="3" state="hidden" r:id="rId7"/>
    <sheet name="Analyse Région-Bénéficiaires." sheetId="22" r:id="rId8"/>
    <sheet name="Composition des kits cuisine" sheetId="23" r:id="rId9"/>
    <sheet name="NFI by Agency" sheetId="37" state="hidden" r:id="rId10"/>
    <sheet name="Sheet2" sheetId="38" r:id="rId11"/>
  </sheets>
  <externalReferences>
    <externalReference r:id="rId12"/>
    <externalReference r:id="rId13"/>
    <externalReference r:id="rId14"/>
  </externalReferences>
  <definedNames>
    <definedName name="_xlnm._FilterDatabase" localSheetId="0" hidden="1">'Base Distribution'!$A$4:$AA$99</definedName>
    <definedName name="_xlnm._FilterDatabase" localSheetId="5" hidden="1">Control!$A$1:$C$1</definedName>
    <definedName name="Activités" localSheetId="2">[1]Control!$B$2:$B$3</definedName>
    <definedName name="Activités" localSheetId="3">[2]Control!$B$2:$B$3</definedName>
    <definedName name="Activités">Control!$B$2:$B$3</definedName>
    <definedName name="Admin1" localSheetId="2">[1]Pcode!$A$2:$A$10</definedName>
    <definedName name="Admin1" localSheetId="3">[2]Pcode!$A$2:$A$10</definedName>
    <definedName name="Admin1" localSheetId="5">'[3]List REGIONS,CERCLES,COMMUNES'!$A$2:$A$8</definedName>
    <definedName name="Admin1">Pcode!$A$2:$A$10</definedName>
    <definedName name="Admin1_1">Pcode!$C$2</definedName>
    <definedName name="Admin1_111">Pcode!$E$2:$E$7</definedName>
    <definedName name="Admin1_2">Pcode!$C$3:$C$9</definedName>
    <definedName name="Admin1_211">Pcode!$E$8:$E$36</definedName>
    <definedName name="Admin1_212">Pcode!$E$37:$E$49</definedName>
    <definedName name="Admin1_213">Pcode!$E$50:$E$64</definedName>
    <definedName name="Admin1_214">Pcode!$E$65:$E$76</definedName>
    <definedName name="Admin1_215">Pcode!$E$77:$E$109</definedName>
    <definedName name="Admin1_216">Pcode!$E$110:$E$125</definedName>
    <definedName name="Admin1_217">Pcode!$E$126:$E$137</definedName>
    <definedName name="Admin1_3">Pcode!$C$10:$C$16</definedName>
    <definedName name="Admin1_311">Pcode!$E$138:$E$146</definedName>
    <definedName name="Admin1_312">Pcode!$E$147:$E$155</definedName>
    <definedName name="Admin1_313">Pcode!$E$156:$E$178</definedName>
    <definedName name="Admin1_314">Pcode!$E$179:$E$187</definedName>
    <definedName name="Admin1_315">Pcode!$E$188:$E$224</definedName>
    <definedName name="Admin1_316">Pcode!$E$225:$E$234</definedName>
    <definedName name="Admin1_317">Pcode!$E$235:$E$245</definedName>
    <definedName name="Admin1_4">Pcode!$C$17:$C$23</definedName>
    <definedName name="Admin1_411">Pcode!$E$246:$E$288</definedName>
    <definedName name="Admin1_412">Pcode!$E$289:$E$314</definedName>
    <definedName name="Admin1_413">Pcode!$E$315:$E$323</definedName>
    <definedName name="Admin1_414">Pcode!$E$324:$E$335</definedName>
    <definedName name="Admin1_415">Pcode!$E$336:$E$371</definedName>
    <definedName name="Admin1_416">Pcode!$E$372:$E$383</definedName>
    <definedName name="Admin1_417">Pcode!$E$384:$E$392</definedName>
    <definedName name="Admin1_5">Pcode!$C$24:$C$30</definedName>
    <definedName name="Admin1_511">Pcode!$E$393:$E$422</definedName>
    <definedName name="Admin1_512">Pcode!$E$423:$E$433</definedName>
    <definedName name="Admin1_513">Pcode!$E$434:$E$450</definedName>
    <definedName name="Admin1_514">Pcode!$E$451:$E$461</definedName>
    <definedName name="Admin1_515">Pcode!$E$462:$E$473</definedName>
    <definedName name="Admin1_516">Pcode!$E$474:$E$498</definedName>
    <definedName name="Admin1_517">Pcode!$E$499:$E$510</definedName>
    <definedName name="Admin1_6">Pcode!$C$31:$C$38</definedName>
    <definedName name="Admin1_611">Pcode!$E$511:$E$526</definedName>
    <definedName name="Admin1_612">Pcode!$E$527:$E$547</definedName>
    <definedName name="Admin1_613">Pcode!$E$548:$E$559</definedName>
    <definedName name="Admin1_614">Pcode!$E$560:$E$571</definedName>
    <definedName name="Admin1_615">Pcode!$E$572:$E$586</definedName>
    <definedName name="Admin1_616">Pcode!$E$587:$E$602</definedName>
    <definedName name="Admin1_617">Pcode!$E$603:$E$612</definedName>
    <definedName name="Admin1_618">Pcode!$E$613:$E$619</definedName>
    <definedName name="Admin1_7">Pcode!$C$39:$C$43</definedName>
    <definedName name="Admin1_711">Pcode!$E$620:$E$625</definedName>
    <definedName name="Admin1_712">Pcode!$E$626:$E$638</definedName>
    <definedName name="Admin1_713">Pcode!$E$639:$E$654</definedName>
    <definedName name="Admin1_714">Pcode!$E$655:$E$663</definedName>
    <definedName name="Admin1_715">Pcode!$E$664:$E$671</definedName>
    <definedName name="Admin1_8">Pcode!$C$44:$C$47</definedName>
    <definedName name="Admin1_811">Pcode!$E$672:$E$678</definedName>
    <definedName name="Admin1_812">Pcode!$E$679:$E$685</definedName>
    <definedName name="Admin1_813">Pcode!$E$686:$E$690</definedName>
    <definedName name="Admin1_814">Pcode!$E$691:$E$695</definedName>
    <definedName name="Admin1_9">Pcode!$C$48:$C$51</definedName>
    <definedName name="Admin1_911">Pcode!$E$696:$E$698</definedName>
    <definedName name="Admin1_912">Pcode!$E$699:$E$701</definedName>
    <definedName name="Admin1_913">Pcode!$E$702:$E$704</definedName>
    <definedName name="Admin1_914">Pcode!$E$705:$E$706</definedName>
    <definedName name="Agencies">Control!$A$2:$A$200</definedName>
    <definedName name="Answer">[3]!Table2[[#Headers],[Answer]]</definedName>
    <definedName name="Answers">[3]!Table2[Answer]</definedName>
    <definedName name="Cibles" localSheetId="2">[1]Control!$C$2:$C$3</definedName>
    <definedName name="Cibles" localSheetId="3">[2]Control!$C$2:$C$3</definedName>
    <definedName name="Cibles">Control!$C$2:$C$3</definedName>
    <definedName name="Circle">'[3]List REGIONS,CERCLES,COMMUNES'!$C$1:$C$50</definedName>
    <definedName name="CircleList">'[3]List REGIONS,CERCLES,COMMUNES'!$C$2:$C$50</definedName>
    <definedName name="Communes">[3]!Table5[Communes]</definedName>
    <definedName name="Organisations" localSheetId="2">[1]Control!$A$2:$A$191</definedName>
    <definedName name="Organisations" localSheetId="3">[2]Control!$A$2:$A$191</definedName>
    <definedName name="Organisations">Control!$A$2:$A$191</definedName>
    <definedName name="ORGANIZATION" localSheetId="2">[1]Control!$A$2:$A$1005</definedName>
    <definedName name="ORGANIZATION" localSheetId="3">[2]Control!$A$2:$A$1005</definedName>
    <definedName name="ORGANIZATION">Control!$A$2:$A$1005</definedName>
    <definedName name="Region">'[3]List REGIONS,CERCLES,COMMUNES'!$A$1:$A$10</definedName>
    <definedName name="RegionList">'[3]List REGIONS,CERCLES,COMMUNES'!$A$2:$A$10</definedName>
  </definedNames>
  <calcPr calcId="145621"/>
  <pivotCaches>
    <pivotCache cacheId="0" r:id="rId15"/>
    <pivotCache cacheId="1" r:id="rId16"/>
    <pivotCache cacheId="2" r:id="rId17"/>
    <pivotCache cacheId="3" r:id="rId18"/>
  </pivotCaches>
</workbook>
</file>

<file path=xl/calcChain.xml><?xml version="1.0" encoding="utf-8"?>
<calcChain xmlns="http://schemas.openxmlformats.org/spreadsheetml/2006/main">
  <c r="C25" i="38" l="1"/>
  <c r="B25" i="38"/>
  <c r="A25" i="38"/>
  <c r="B15" i="37"/>
  <c r="D24" i="22" l="1"/>
  <c r="D25" i="22"/>
  <c r="D26" i="22"/>
  <c r="D27" i="22"/>
  <c r="D28" i="22"/>
  <c r="D29" i="22"/>
  <c r="D30" i="22"/>
  <c r="D31" i="22"/>
  <c r="D32" i="22"/>
  <c r="B28" i="34"/>
  <c r="B33" i="34"/>
  <c r="B37" i="34"/>
  <c r="B27" i="34"/>
  <c r="B36" i="34"/>
  <c r="B31" i="34"/>
  <c r="B29" i="34"/>
  <c r="B34" i="34"/>
  <c r="B38" i="34"/>
  <c r="B26" i="34"/>
  <c r="B30" i="34"/>
  <c r="B35" i="34"/>
  <c r="B32" i="34"/>
  <c r="C33" i="22"/>
  <c r="B39" i="34" l="1"/>
  <c r="C31" i="34" s="1"/>
  <c r="C32" i="34"/>
  <c r="C34" i="34"/>
  <c r="C26" i="34"/>
  <c r="C28" i="34"/>
  <c r="C35" i="34"/>
  <c r="C37" i="34"/>
  <c r="O3" i="4"/>
  <c r="P3" i="4"/>
  <c r="Q3" i="4"/>
  <c r="U3" i="4"/>
  <c r="W3" i="4"/>
  <c r="X3" i="4"/>
  <c r="Y3" i="4"/>
  <c r="Z3" i="4"/>
  <c r="N3" i="4"/>
  <c r="E25" i="22"/>
  <c r="B36" i="36"/>
  <c r="D28" i="36"/>
  <c r="D33" i="36"/>
  <c r="B30" i="36"/>
  <c r="D30" i="36"/>
  <c r="D35" i="36"/>
  <c r="B28" i="36"/>
  <c r="P29" i="34"/>
  <c r="J36" i="34"/>
  <c r="F30" i="34"/>
  <c r="N35" i="34"/>
  <c r="D28" i="34"/>
  <c r="F36" i="34"/>
  <c r="D34" i="34"/>
  <c r="N38" i="34"/>
  <c r="J32" i="34"/>
  <c r="F26" i="34"/>
  <c r="P34" i="34"/>
  <c r="L28" i="34"/>
  <c r="F35" i="34"/>
  <c r="R26" i="34"/>
  <c r="L33" i="34"/>
  <c r="H27" i="34"/>
  <c r="R35" i="34"/>
  <c r="N29" i="34"/>
  <c r="H36" i="34"/>
  <c r="D30" i="34"/>
  <c r="H34" i="34"/>
  <c r="P35" i="34"/>
  <c r="J26" i="34"/>
  <c r="R31" i="34"/>
  <c r="J35" i="34"/>
  <c r="D26" i="34"/>
  <c r="P31" i="34"/>
  <c r="F32" i="34"/>
  <c r="L34" i="34"/>
  <c r="H28" i="34"/>
  <c r="F31" i="34"/>
  <c r="P27" i="34"/>
  <c r="P36" i="34"/>
  <c r="D31" i="34"/>
  <c r="L26" i="34"/>
  <c r="D36" i="34"/>
  <c r="N33" i="34"/>
  <c r="B25" i="30"/>
  <c r="D32" i="36"/>
  <c r="D37" i="36"/>
  <c r="B34" i="36"/>
  <c r="D34" i="36"/>
  <c r="D39" i="36"/>
  <c r="P37" i="34"/>
  <c r="L31" i="34"/>
  <c r="P30" i="34"/>
  <c r="J34" i="34"/>
  <c r="P33" i="34"/>
  <c r="F34" i="34"/>
  <c r="H30" i="34"/>
  <c r="H35" i="34"/>
  <c r="J31" i="34"/>
  <c r="R38" i="34"/>
  <c r="F29" i="34"/>
  <c r="D40" i="36"/>
  <c r="B35" i="36"/>
  <c r="D29" i="36"/>
  <c r="B37" i="36"/>
  <c r="B39" i="36"/>
  <c r="D31" i="36"/>
  <c r="B31" i="36"/>
  <c r="N34" i="34"/>
  <c r="J28" i="34"/>
  <c r="D35" i="34"/>
  <c r="L32" i="34"/>
  <c r="R30" i="34"/>
  <c r="P28" i="34"/>
  <c r="R36" i="34"/>
  <c r="N30" i="34"/>
  <c r="H37" i="34"/>
  <c r="D29" i="34"/>
  <c r="P26" i="34"/>
  <c r="J33" i="34"/>
  <c r="F27" i="34"/>
  <c r="J38" i="34"/>
  <c r="R27" i="34"/>
  <c r="R33" i="34"/>
  <c r="H31" i="34"/>
  <c r="J27" i="34"/>
  <c r="N27" i="34"/>
  <c r="F28" i="34"/>
  <c r="B27" i="22"/>
  <c r="F38" i="34"/>
  <c r="H32" i="34"/>
  <c r="R29" i="34"/>
  <c r="R34" i="34"/>
  <c r="D27" i="34"/>
  <c r="J37" i="34"/>
  <c r="D33" i="34"/>
  <c r="D36" i="36"/>
  <c r="B29" i="36"/>
  <c r="B38" i="36"/>
  <c r="D38" i="36"/>
  <c r="B33" i="36"/>
  <c r="B40" i="36"/>
  <c r="R32" i="34"/>
  <c r="N26" i="34"/>
  <c r="H33" i="34"/>
  <c r="P38" i="34"/>
  <c r="J29" i="34"/>
  <c r="N32" i="34"/>
  <c r="L30" i="34"/>
  <c r="R28" i="34"/>
  <c r="L35" i="34"/>
  <c r="H29" i="34"/>
  <c r="R37" i="34"/>
  <c r="N31" i="34"/>
  <c r="H38" i="34"/>
  <c r="D32" i="34"/>
  <c r="N36" i="34"/>
  <c r="J30" i="34"/>
  <c r="D37" i="34"/>
  <c r="P32" i="34"/>
  <c r="F33" i="34"/>
  <c r="L37" i="34"/>
  <c r="F37" i="34"/>
  <c r="B32" i="36"/>
  <c r="H26" i="34"/>
  <c r="L27" i="34"/>
  <c r="L36" i="34"/>
  <c r="N28" i="34"/>
  <c r="N37" i="34"/>
  <c r="D38" i="34"/>
  <c r="L29" i="34"/>
  <c r="L38" i="34"/>
  <c r="C33" i="34" l="1"/>
  <c r="C38" i="34"/>
  <c r="C27" i="34"/>
  <c r="C30" i="34"/>
  <c r="C39" i="34" s="1"/>
  <c r="C36" i="34"/>
  <c r="C29" i="34"/>
  <c r="D41" i="36"/>
  <c r="B41" i="36"/>
  <c r="C29" i="36" s="1"/>
  <c r="D39" i="34"/>
  <c r="F39" i="34"/>
  <c r="G26" i="34" s="1"/>
  <c r="R39" i="34"/>
  <c r="S37" i="34" s="1"/>
  <c r="P39" i="34"/>
  <c r="Q26" i="34" s="1"/>
  <c r="N39" i="34"/>
  <c r="O26" i="34" s="1"/>
  <c r="L39" i="34"/>
  <c r="M26" i="34" s="1"/>
  <c r="J39" i="34"/>
  <c r="K26" i="34" s="1"/>
  <c r="H39" i="34"/>
  <c r="I26" i="34" s="1"/>
  <c r="E38" i="36" l="1"/>
  <c r="E34" i="36"/>
  <c r="E30" i="36"/>
  <c r="E39" i="36"/>
  <c r="E35" i="36"/>
  <c r="E31" i="36"/>
  <c r="E40" i="36"/>
  <c r="E36" i="36"/>
  <c r="E32" i="36"/>
  <c r="E28" i="36"/>
  <c r="E37" i="36"/>
  <c r="E33" i="36"/>
  <c r="E29" i="36"/>
  <c r="C40" i="36"/>
  <c r="C38" i="36"/>
  <c r="C36" i="36"/>
  <c r="C34" i="36"/>
  <c r="C32" i="36"/>
  <c r="C30" i="36"/>
  <c r="C28" i="36"/>
  <c r="C39" i="36"/>
  <c r="C37" i="36"/>
  <c r="C35" i="36"/>
  <c r="C33" i="36"/>
  <c r="C31" i="36"/>
  <c r="S35" i="34"/>
  <c r="S33" i="34"/>
  <c r="S31" i="34"/>
  <c r="S29" i="34"/>
  <c r="S27" i="34"/>
  <c r="S38" i="34"/>
  <c r="S36" i="34"/>
  <c r="S34" i="34"/>
  <c r="S32" i="34"/>
  <c r="S30" i="34"/>
  <c r="S28" i="34"/>
  <c r="S26" i="34"/>
  <c r="Q37" i="34"/>
  <c r="Q31" i="34"/>
  <c r="Q29" i="34"/>
  <c r="Q27" i="34"/>
  <c r="Q38" i="34"/>
  <c r="Q36" i="34"/>
  <c r="Q35" i="34"/>
  <c r="Q34" i="34"/>
  <c r="Q33" i="34"/>
  <c r="Q32" i="34"/>
  <c r="Q30" i="34"/>
  <c r="Q28" i="34"/>
  <c r="O38" i="34"/>
  <c r="O36" i="34"/>
  <c r="O34" i="34"/>
  <c r="O32" i="34"/>
  <c r="O30" i="34"/>
  <c r="O28" i="34"/>
  <c r="O37" i="34"/>
  <c r="O35" i="34"/>
  <c r="O33" i="34"/>
  <c r="O31" i="34"/>
  <c r="O29" i="34"/>
  <c r="O27" i="34"/>
  <c r="M38" i="34"/>
  <c r="M37" i="34"/>
  <c r="M36" i="34"/>
  <c r="M35" i="34"/>
  <c r="M34" i="34"/>
  <c r="M33" i="34"/>
  <c r="M32" i="34"/>
  <c r="M31" i="34"/>
  <c r="M30" i="34"/>
  <c r="M29" i="34"/>
  <c r="M28" i="34"/>
  <c r="M27" i="34"/>
  <c r="K38" i="34"/>
  <c r="K36" i="34"/>
  <c r="K34" i="34"/>
  <c r="K32" i="34"/>
  <c r="K30" i="34"/>
  <c r="K28" i="34"/>
  <c r="K37" i="34"/>
  <c r="K35" i="34"/>
  <c r="K33" i="34"/>
  <c r="K31" i="34"/>
  <c r="K29" i="34"/>
  <c r="K27" i="34"/>
  <c r="I38" i="34"/>
  <c r="I37" i="34"/>
  <c r="I36" i="34"/>
  <c r="I35" i="34"/>
  <c r="I34" i="34"/>
  <c r="I33" i="34"/>
  <c r="I32" i="34"/>
  <c r="I31" i="34"/>
  <c r="I30" i="34"/>
  <c r="I29" i="34"/>
  <c r="I28" i="34"/>
  <c r="I27" i="34"/>
  <c r="G30" i="34"/>
  <c r="G37" i="34"/>
  <c r="G35" i="34"/>
  <c r="G33" i="34"/>
  <c r="G31" i="34"/>
  <c r="G29" i="34"/>
  <c r="G27" i="34"/>
  <c r="G38" i="34"/>
  <c r="G36" i="34"/>
  <c r="G34" i="34"/>
  <c r="G32" i="34"/>
  <c r="G28" i="34"/>
  <c r="E38" i="34"/>
  <c r="E37" i="34"/>
  <c r="E36" i="34"/>
  <c r="E35" i="34"/>
  <c r="E34" i="34"/>
  <c r="E33" i="34"/>
  <c r="E32" i="34"/>
  <c r="E31" i="34"/>
  <c r="E30" i="34"/>
  <c r="E29" i="34"/>
  <c r="E28" i="34"/>
  <c r="E27" i="34"/>
  <c r="E26" i="34"/>
  <c r="E41" i="36" l="1"/>
  <c r="C41" i="36"/>
  <c r="I39" i="34"/>
  <c r="S39" i="34"/>
  <c r="Q39" i="34"/>
  <c r="O39" i="34"/>
  <c r="M39" i="34"/>
  <c r="K39" i="34"/>
  <c r="G39" i="34"/>
  <c r="E39" i="34"/>
  <c r="P29" i="30"/>
  <c r="N22" i="30"/>
  <c r="J24" i="30"/>
  <c r="F26" i="30"/>
  <c r="R26" i="30"/>
  <c r="N27" i="30"/>
  <c r="J29" i="30"/>
  <c r="H22" i="30"/>
  <c r="D28" i="30"/>
  <c r="R23" i="30"/>
  <c r="N24" i="30"/>
  <c r="J26" i="30"/>
  <c r="F28" i="30"/>
  <c r="R28" i="30"/>
  <c r="N29" i="30"/>
  <c r="L22" i="30"/>
  <c r="H24" i="30"/>
  <c r="B22" i="30"/>
  <c r="R25" i="30"/>
  <c r="P22" i="30"/>
  <c r="H26" i="30"/>
  <c r="R27" i="30"/>
  <c r="H23" i="30"/>
  <c r="L26" i="30"/>
  <c r="D22" i="30"/>
  <c r="P25" i="30"/>
  <c r="L27" i="30"/>
  <c r="H29" i="30"/>
  <c r="F22" i="30"/>
  <c r="R22" i="30"/>
  <c r="N23" i="30"/>
  <c r="J25" i="30"/>
  <c r="F27" i="30"/>
  <c r="D24" i="30"/>
  <c r="P27" i="30"/>
  <c r="L29" i="30"/>
  <c r="J22" i="30"/>
  <c r="F24" i="30"/>
  <c r="R24" i="30"/>
  <c r="N25" i="30"/>
  <c r="J27" i="30"/>
  <c r="F29" i="30"/>
  <c r="D26" i="30"/>
  <c r="N26" i="30"/>
  <c r="R21" i="30"/>
  <c r="B21" i="30"/>
  <c r="L21" i="30"/>
  <c r="P24" i="30"/>
  <c r="F21" i="30"/>
  <c r="R29" i="30"/>
  <c r="P21" i="30"/>
  <c r="L23" i="30"/>
  <c r="H25" i="30"/>
  <c r="D29" i="30"/>
  <c r="P26" i="30"/>
  <c r="L28" i="30"/>
  <c r="J21" i="30"/>
  <c r="F23" i="30"/>
  <c r="D27" i="30"/>
  <c r="P23" i="30"/>
  <c r="L25" i="30"/>
  <c r="H27" i="30"/>
  <c r="D23" i="30"/>
  <c r="P28" i="30"/>
  <c r="N21" i="30"/>
  <c r="J23" i="30"/>
  <c r="F25" i="30"/>
  <c r="D21" i="30"/>
  <c r="J28" i="30"/>
  <c r="H21" i="30"/>
  <c r="L24" i="30"/>
  <c r="N28" i="30"/>
  <c r="D25" i="30"/>
  <c r="H28" i="30"/>
  <c r="D30" i="30" l="1"/>
  <c r="R30" i="30"/>
  <c r="L48" i="4"/>
  <c r="L47" i="4"/>
  <c r="L46" i="4"/>
  <c r="L69" i="4"/>
  <c r="L70" i="4"/>
  <c r="L68" i="4"/>
  <c r="L67" i="4"/>
  <c r="L57" i="4"/>
  <c r="L58" i="4"/>
  <c r="L59" i="4"/>
  <c r="L60" i="4"/>
  <c r="L61" i="4"/>
  <c r="L56" i="4"/>
  <c r="L55" i="4"/>
  <c r="L54" i="4"/>
  <c r="L45" i="4"/>
  <c r="L10" i="4"/>
  <c r="S29" i="30"/>
  <c r="P30" i="30"/>
  <c r="Q28" i="30" s="1"/>
  <c r="N30" i="30"/>
  <c r="O29" i="30" s="1"/>
  <c r="L30" i="30"/>
  <c r="M28" i="30" s="1"/>
  <c r="J30" i="30"/>
  <c r="K29" i="30" s="1"/>
  <c r="H30" i="30"/>
  <c r="I28" i="30" s="1"/>
  <c r="F30" i="30"/>
  <c r="G29" i="30" s="1"/>
  <c r="M25" i="30"/>
  <c r="Q21" i="30"/>
  <c r="B29" i="30"/>
  <c r="B24" i="30"/>
  <c r="B26" i="30"/>
  <c r="B23" i="30"/>
  <c r="B28" i="30"/>
  <c r="B27" i="30"/>
  <c r="Q29" i="30" l="1"/>
  <c r="I21" i="30"/>
  <c r="M23" i="30"/>
  <c r="M27" i="30"/>
  <c r="M21" i="30"/>
  <c r="I23" i="30"/>
  <c r="I25" i="30"/>
  <c r="I27" i="30"/>
  <c r="I29" i="30"/>
  <c r="O21" i="30"/>
  <c r="K22" i="30"/>
  <c r="K26" i="30"/>
  <c r="K24" i="30"/>
  <c r="K28" i="30"/>
  <c r="O22" i="30"/>
  <c r="O24" i="30"/>
  <c r="O26" i="30"/>
  <c r="O28" i="30"/>
  <c r="S22" i="30"/>
  <c r="S26" i="30"/>
  <c r="S21" i="30"/>
  <c r="S24" i="30"/>
  <c r="S28" i="30"/>
  <c r="Q23" i="30"/>
  <c r="Q25" i="30"/>
  <c r="Q27" i="30"/>
  <c r="M29" i="30"/>
  <c r="K21" i="30"/>
  <c r="G22" i="30"/>
  <c r="G26" i="30"/>
  <c r="G24" i="30"/>
  <c r="G28" i="30"/>
  <c r="B30" i="30"/>
  <c r="C21" i="30" s="1"/>
  <c r="E21" i="30"/>
  <c r="G21" i="30"/>
  <c r="I22" i="30"/>
  <c r="M22" i="30"/>
  <c r="Q22" i="30"/>
  <c r="G23" i="30"/>
  <c r="K23" i="30"/>
  <c r="O23" i="30"/>
  <c r="S23" i="30"/>
  <c r="I24" i="30"/>
  <c r="M24" i="30"/>
  <c r="Q24" i="30"/>
  <c r="G25" i="30"/>
  <c r="K25" i="30"/>
  <c r="O25" i="30"/>
  <c r="S25" i="30"/>
  <c r="I26" i="30"/>
  <c r="M26" i="30"/>
  <c r="Q26" i="30"/>
  <c r="G27" i="30"/>
  <c r="K27" i="30"/>
  <c r="O27" i="30"/>
  <c r="S27" i="30"/>
  <c r="C27" i="30" l="1"/>
  <c r="C25" i="30"/>
  <c r="S30" i="30"/>
  <c r="Q30" i="30"/>
  <c r="O30" i="30"/>
  <c r="M30" i="30"/>
  <c r="K30" i="30"/>
  <c r="I30" i="30"/>
  <c r="E26" i="30"/>
  <c r="E24" i="30"/>
  <c r="C23" i="30"/>
  <c r="E22" i="30"/>
  <c r="E28" i="30"/>
  <c r="E29" i="30"/>
  <c r="E27" i="30"/>
  <c r="E25" i="30"/>
  <c r="E23" i="30"/>
  <c r="C29" i="30"/>
  <c r="C26" i="30"/>
  <c r="C22" i="30"/>
  <c r="C28" i="30"/>
  <c r="C24" i="30"/>
  <c r="G30" i="30"/>
  <c r="L14" i="4"/>
  <c r="L15" i="4"/>
  <c r="L16" i="4"/>
  <c r="L17" i="4"/>
  <c r="L13" i="4"/>
  <c r="L29" i="4"/>
  <c r="L28" i="4"/>
  <c r="K23" i="4"/>
  <c r="L27" i="4"/>
  <c r="L23" i="4"/>
  <c r="E24" i="22"/>
  <c r="I100" i="4"/>
  <c r="I101" i="4"/>
  <c r="I102" i="4"/>
  <c r="I103" i="4"/>
  <c r="I104" i="4"/>
  <c r="I105" i="4"/>
  <c r="I106" i="4"/>
  <c r="I107" i="4"/>
  <c r="I108" i="4"/>
  <c r="I109" i="4"/>
  <c r="I110" i="4"/>
  <c r="I111" i="4"/>
  <c r="I112" i="4"/>
  <c r="I113" i="4"/>
  <c r="I114" i="4"/>
  <c r="I115" i="4"/>
  <c r="I116" i="4"/>
  <c r="I117" i="4"/>
  <c r="I118" i="4"/>
  <c r="I119" i="4"/>
  <c r="I120" i="4"/>
  <c r="I121" i="4"/>
  <c r="I122" i="4"/>
  <c r="I123" i="4"/>
  <c r="I124" i="4"/>
  <c r="I125" i="4"/>
  <c r="I126" i="4"/>
  <c r="I127" i="4"/>
  <c r="I128" i="4"/>
  <c r="I129" i="4"/>
  <c r="I130" i="4"/>
  <c r="I131" i="4"/>
  <c r="I132" i="4"/>
  <c r="I133" i="4"/>
  <c r="I134" i="4"/>
  <c r="I135" i="4"/>
  <c r="I136" i="4"/>
  <c r="I137" i="4"/>
  <c r="I138" i="4"/>
  <c r="I139" i="4"/>
  <c r="I140" i="4"/>
  <c r="I141" i="4"/>
  <c r="I142" i="4"/>
  <c r="I143" i="4"/>
  <c r="I144" i="4"/>
  <c r="I145" i="4"/>
  <c r="I146" i="4"/>
  <c r="I147" i="4"/>
  <c r="I148" i="4"/>
  <c r="I149" i="4"/>
  <c r="I150" i="4"/>
  <c r="I151" i="4"/>
  <c r="I152" i="4"/>
  <c r="I153" i="4"/>
  <c r="I154" i="4"/>
  <c r="I155" i="4"/>
  <c r="I156" i="4"/>
  <c r="I157" i="4"/>
  <c r="I158" i="4"/>
  <c r="I159" i="4"/>
  <c r="I160" i="4"/>
  <c r="I161" i="4"/>
  <c r="I162" i="4"/>
  <c r="I163" i="4"/>
  <c r="I164" i="4"/>
  <c r="I165" i="4"/>
  <c r="I166" i="4"/>
  <c r="I167" i="4"/>
  <c r="I168" i="4"/>
  <c r="I169" i="4"/>
  <c r="I170" i="4"/>
  <c r="I171" i="4"/>
  <c r="I172" i="4"/>
  <c r="I173" i="4"/>
  <c r="I174" i="4"/>
  <c r="I175" i="4"/>
  <c r="I176" i="4"/>
  <c r="I177" i="4"/>
  <c r="I178" i="4"/>
  <c r="I179" i="4"/>
  <c r="I180" i="4"/>
  <c r="I181" i="4"/>
  <c r="I182" i="4"/>
  <c r="I183" i="4"/>
  <c r="I184" i="4"/>
  <c r="I185" i="4"/>
  <c r="I186" i="4"/>
  <c r="I187" i="4"/>
  <c r="I188" i="4"/>
  <c r="I189" i="4"/>
  <c r="I190" i="4"/>
  <c r="I191" i="4"/>
  <c r="I192" i="4"/>
  <c r="I193" i="4"/>
  <c r="I194" i="4"/>
  <c r="I195" i="4"/>
  <c r="I196" i="4"/>
  <c r="I197" i="4"/>
  <c r="I198" i="4"/>
  <c r="I199" i="4"/>
  <c r="I200" i="4"/>
  <c r="I201" i="4"/>
  <c r="I202" i="4"/>
  <c r="I203" i="4"/>
  <c r="I204" i="4"/>
  <c r="I205" i="4"/>
  <c r="I206" i="4"/>
  <c r="I207" i="4"/>
  <c r="I208" i="4"/>
  <c r="I209" i="4"/>
  <c r="I210" i="4"/>
  <c r="I211" i="4"/>
  <c r="I212" i="4"/>
  <c r="I213" i="4"/>
  <c r="I214" i="4"/>
  <c r="I215" i="4"/>
  <c r="I216" i="4"/>
  <c r="I217" i="4"/>
  <c r="I218" i="4"/>
  <c r="I219" i="4"/>
  <c r="I220" i="4"/>
  <c r="I221" i="4"/>
  <c r="I222" i="4"/>
  <c r="I223" i="4"/>
  <c r="I224" i="4"/>
  <c r="I225" i="4"/>
  <c r="I226" i="4"/>
  <c r="I227" i="4"/>
  <c r="I228" i="4"/>
  <c r="I229" i="4"/>
  <c r="I230" i="4"/>
  <c r="I231" i="4"/>
  <c r="I232" i="4"/>
  <c r="I233" i="4"/>
  <c r="I234" i="4"/>
  <c r="I235" i="4"/>
  <c r="I236" i="4"/>
  <c r="I237" i="4"/>
  <c r="I238" i="4"/>
  <c r="I239" i="4"/>
  <c r="I240" i="4"/>
  <c r="I241" i="4"/>
  <c r="I242" i="4"/>
  <c r="I243" i="4"/>
  <c r="I244" i="4"/>
  <c r="I245" i="4"/>
  <c r="I246" i="4"/>
  <c r="I247" i="4"/>
  <c r="I248" i="4"/>
  <c r="I249" i="4"/>
  <c r="I250" i="4"/>
  <c r="I251" i="4"/>
  <c r="I252" i="4"/>
  <c r="I253" i="4"/>
  <c r="I254" i="4"/>
  <c r="I255" i="4"/>
  <c r="I256" i="4"/>
  <c r="I257" i="4"/>
  <c r="I258" i="4"/>
  <c r="I259" i="4"/>
  <c r="I260" i="4"/>
  <c r="I261" i="4"/>
  <c r="I262" i="4"/>
  <c r="I263" i="4"/>
  <c r="I264" i="4"/>
  <c r="I265" i="4"/>
  <c r="I266" i="4"/>
  <c r="I267" i="4"/>
  <c r="I268" i="4"/>
  <c r="I269" i="4"/>
  <c r="I270" i="4"/>
  <c r="I271" i="4"/>
  <c r="I272" i="4"/>
  <c r="I273" i="4"/>
  <c r="I274" i="4"/>
  <c r="I275" i="4"/>
  <c r="I276" i="4"/>
  <c r="I277" i="4"/>
  <c r="I278" i="4"/>
  <c r="I279" i="4"/>
  <c r="I280" i="4"/>
  <c r="I281" i="4"/>
  <c r="I282" i="4"/>
  <c r="I283" i="4"/>
  <c r="I284" i="4"/>
  <c r="I285" i="4"/>
  <c r="I286" i="4"/>
  <c r="I287" i="4"/>
  <c r="I288" i="4"/>
  <c r="I289" i="4"/>
  <c r="I290" i="4"/>
  <c r="I291" i="4"/>
  <c r="I292" i="4"/>
  <c r="I293" i="4"/>
  <c r="I294" i="4"/>
  <c r="I295" i="4"/>
  <c r="I296" i="4"/>
  <c r="I297" i="4"/>
  <c r="I298" i="4"/>
  <c r="I299" i="4"/>
  <c r="I300" i="4"/>
  <c r="I301" i="4"/>
  <c r="I302" i="4"/>
  <c r="I303" i="4"/>
  <c r="I304" i="4"/>
  <c r="I305" i="4"/>
  <c r="I306" i="4"/>
  <c r="I307" i="4"/>
  <c r="I308" i="4"/>
  <c r="I309" i="4"/>
  <c r="I310" i="4"/>
  <c r="I311" i="4"/>
  <c r="I312" i="4"/>
  <c r="I313" i="4"/>
  <c r="I314" i="4"/>
  <c r="I315" i="4"/>
  <c r="I316" i="4"/>
  <c r="I317" i="4"/>
  <c r="I318" i="4"/>
  <c r="I319" i="4"/>
  <c r="I320" i="4"/>
  <c r="I321" i="4"/>
  <c r="I322" i="4"/>
  <c r="I323" i="4"/>
  <c r="I324" i="4"/>
  <c r="I325" i="4"/>
  <c r="I326" i="4"/>
  <c r="I327" i="4"/>
  <c r="I328" i="4"/>
  <c r="I329" i="4"/>
  <c r="I330" i="4"/>
  <c r="I331" i="4"/>
  <c r="I332" i="4"/>
  <c r="I333" i="4"/>
  <c r="I334" i="4"/>
  <c r="I335" i="4"/>
  <c r="I336" i="4"/>
  <c r="I337" i="4"/>
  <c r="I338" i="4"/>
  <c r="I339" i="4"/>
  <c r="I340" i="4"/>
  <c r="I341" i="4"/>
  <c r="I342" i="4"/>
  <c r="I343" i="4"/>
  <c r="I344" i="4"/>
  <c r="I345" i="4"/>
  <c r="I346" i="4"/>
  <c r="I347" i="4"/>
  <c r="I348" i="4"/>
  <c r="I349" i="4"/>
  <c r="I350" i="4"/>
  <c r="I351" i="4"/>
  <c r="I352" i="4"/>
  <c r="I353" i="4"/>
  <c r="I354" i="4"/>
  <c r="I355" i="4"/>
  <c r="I356" i="4"/>
  <c r="I357" i="4"/>
  <c r="I358" i="4"/>
  <c r="I359" i="4"/>
  <c r="I360" i="4"/>
  <c r="I361" i="4"/>
  <c r="I362" i="4"/>
  <c r="I363" i="4"/>
  <c r="I364" i="4"/>
  <c r="I365" i="4"/>
  <c r="I366" i="4"/>
  <c r="I367" i="4"/>
  <c r="I368" i="4"/>
  <c r="I369" i="4"/>
  <c r="I370" i="4"/>
  <c r="I371" i="4"/>
  <c r="I372" i="4"/>
  <c r="I373" i="4"/>
  <c r="I374" i="4"/>
  <c r="I375" i="4"/>
  <c r="I376" i="4"/>
  <c r="I377" i="4"/>
  <c r="I378" i="4"/>
  <c r="I379" i="4"/>
  <c r="I380" i="4"/>
  <c r="I381" i="4"/>
  <c r="I382" i="4"/>
  <c r="I383" i="4"/>
  <c r="I384" i="4"/>
  <c r="I385" i="4"/>
  <c r="I386" i="4"/>
  <c r="I387" i="4"/>
  <c r="I388" i="4"/>
  <c r="I389" i="4"/>
  <c r="I390" i="4"/>
  <c r="I391" i="4"/>
  <c r="I392" i="4"/>
  <c r="I393" i="4"/>
  <c r="I394" i="4"/>
  <c r="I395" i="4"/>
  <c r="I396" i="4"/>
  <c r="I397" i="4"/>
  <c r="I398" i="4"/>
  <c r="I399" i="4"/>
  <c r="I400" i="4"/>
  <c r="I401" i="4"/>
  <c r="I402" i="4"/>
  <c r="I403" i="4"/>
  <c r="I404" i="4"/>
  <c r="I405" i="4"/>
  <c r="I406" i="4"/>
  <c r="I407" i="4"/>
  <c r="I408" i="4"/>
  <c r="I409" i="4"/>
  <c r="I410" i="4"/>
  <c r="I411" i="4"/>
  <c r="I412" i="4"/>
  <c r="I413" i="4"/>
  <c r="I414" i="4"/>
  <c r="I415" i="4"/>
  <c r="I416" i="4"/>
  <c r="I417" i="4"/>
  <c r="I418" i="4"/>
  <c r="I419" i="4"/>
  <c r="I420" i="4"/>
  <c r="I421" i="4"/>
  <c r="I422" i="4"/>
  <c r="I423" i="4"/>
  <c r="I424" i="4"/>
  <c r="I425" i="4"/>
  <c r="I426" i="4"/>
  <c r="I427" i="4"/>
  <c r="I428" i="4"/>
  <c r="I429" i="4"/>
  <c r="I430" i="4"/>
  <c r="I431" i="4"/>
  <c r="I432" i="4"/>
  <c r="I433" i="4"/>
  <c r="I434" i="4"/>
  <c r="I435" i="4"/>
  <c r="I436" i="4"/>
  <c r="I437" i="4"/>
  <c r="I438" i="4"/>
  <c r="I439" i="4"/>
  <c r="I440" i="4"/>
  <c r="I441" i="4"/>
  <c r="I442" i="4"/>
  <c r="I443" i="4"/>
  <c r="I444" i="4"/>
  <c r="I445" i="4"/>
  <c r="I446" i="4"/>
  <c r="I447" i="4"/>
  <c r="I448" i="4"/>
  <c r="I449" i="4"/>
  <c r="I450" i="4"/>
  <c r="I451" i="4"/>
  <c r="I452" i="4"/>
  <c r="I453" i="4"/>
  <c r="I454" i="4"/>
  <c r="I455" i="4"/>
  <c r="I456" i="4"/>
  <c r="I457" i="4"/>
  <c r="I458" i="4"/>
  <c r="I459" i="4"/>
  <c r="I460" i="4"/>
  <c r="I461" i="4"/>
  <c r="I462" i="4"/>
  <c r="I463" i="4"/>
  <c r="I464" i="4"/>
  <c r="I465" i="4"/>
  <c r="I466" i="4"/>
  <c r="I467" i="4"/>
  <c r="I468" i="4"/>
  <c r="I469" i="4"/>
  <c r="I470" i="4"/>
  <c r="I471" i="4"/>
  <c r="I472" i="4"/>
  <c r="I473" i="4"/>
  <c r="I474" i="4"/>
  <c r="I475" i="4"/>
  <c r="I476" i="4"/>
  <c r="I477" i="4"/>
  <c r="I478" i="4"/>
  <c r="I479" i="4"/>
  <c r="I480" i="4"/>
  <c r="I481" i="4"/>
  <c r="I482" i="4"/>
  <c r="I483" i="4"/>
  <c r="I484" i="4"/>
  <c r="I485" i="4"/>
  <c r="I486" i="4"/>
  <c r="I487" i="4"/>
  <c r="I488" i="4"/>
  <c r="I489" i="4"/>
  <c r="I490" i="4"/>
  <c r="I491" i="4"/>
  <c r="I492" i="4"/>
  <c r="I493" i="4"/>
  <c r="I494" i="4"/>
  <c r="I495" i="4"/>
  <c r="I496" i="4"/>
  <c r="I497" i="4"/>
  <c r="I498" i="4"/>
  <c r="I499" i="4"/>
  <c r="I500" i="4"/>
  <c r="I501" i="4"/>
  <c r="I502" i="4"/>
  <c r="I503" i="4"/>
  <c r="I504" i="4"/>
  <c r="I505" i="4"/>
  <c r="I506" i="4"/>
  <c r="I507" i="4"/>
  <c r="I508" i="4"/>
  <c r="I509" i="4"/>
  <c r="I510" i="4"/>
  <c r="I511" i="4"/>
  <c r="I512" i="4"/>
  <c r="I513" i="4"/>
  <c r="I514" i="4"/>
  <c r="I515" i="4"/>
  <c r="I516" i="4"/>
  <c r="I517" i="4"/>
  <c r="I518" i="4"/>
  <c r="I519" i="4"/>
  <c r="I520" i="4"/>
  <c r="I521" i="4"/>
  <c r="I522" i="4"/>
  <c r="I523" i="4"/>
  <c r="I524" i="4"/>
  <c r="I525" i="4"/>
  <c r="I526" i="4"/>
  <c r="I527" i="4"/>
  <c r="I528" i="4"/>
  <c r="I529" i="4"/>
  <c r="I530" i="4"/>
  <c r="I531" i="4"/>
  <c r="I532" i="4"/>
  <c r="I533" i="4"/>
  <c r="I534" i="4"/>
  <c r="I535" i="4"/>
  <c r="I536" i="4"/>
  <c r="I537" i="4"/>
  <c r="I538" i="4"/>
  <c r="I539" i="4"/>
  <c r="I540" i="4"/>
  <c r="I541" i="4"/>
  <c r="I542" i="4"/>
  <c r="I543" i="4"/>
  <c r="I544" i="4"/>
  <c r="I545" i="4"/>
  <c r="I546" i="4"/>
  <c r="I547" i="4"/>
  <c r="I548" i="4"/>
  <c r="I549" i="4"/>
  <c r="I550" i="4"/>
  <c r="I551" i="4"/>
  <c r="I552" i="4"/>
  <c r="I553" i="4"/>
  <c r="I554" i="4"/>
  <c r="I555" i="4"/>
  <c r="I556" i="4"/>
  <c r="I557" i="4"/>
  <c r="I558" i="4"/>
  <c r="I559" i="4"/>
  <c r="I560" i="4"/>
  <c r="I561" i="4"/>
  <c r="I562" i="4"/>
  <c r="I563" i="4"/>
  <c r="I564" i="4"/>
  <c r="I565" i="4"/>
  <c r="I566" i="4"/>
  <c r="I567" i="4"/>
  <c r="I568" i="4"/>
  <c r="I569" i="4"/>
  <c r="I570" i="4"/>
  <c r="I571" i="4"/>
  <c r="I572" i="4"/>
  <c r="I573" i="4"/>
  <c r="I574" i="4"/>
  <c r="I575" i="4"/>
  <c r="I576" i="4"/>
  <c r="I577" i="4"/>
  <c r="I578" i="4"/>
  <c r="I579" i="4"/>
  <c r="I580" i="4"/>
  <c r="I581" i="4"/>
  <c r="I582" i="4"/>
  <c r="I583" i="4"/>
  <c r="I584" i="4"/>
  <c r="I585" i="4"/>
  <c r="I586" i="4"/>
  <c r="I587" i="4"/>
  <c r="I588" i="4"/>
  <c r="I589" i="4"/>
  <c r="I590" i="4"/>
  <c r="I591" i="4"/>
  <c r="I592" i="4"/>
  <c r="I593" i="4"/>
  <c r="I594" i="4"/>
  <c r="I595" i="4"/>
  <c r="I596" i="4"/>
  <c r="I597" i="4"/>
  <c r="I598" i="4"/>
  <c r="I599" i="4"/>
  <c r="I600" i="4"/>
  <c r="I601" i="4"/>
  <c r="I602" i="4"/>
  <c r="I603" i="4"/>
  <c r="I604" i="4"/>
  <c r="I605" i="4"/>
  <c r="I606" i="4"/>
  <c r="I607" i="4"/>
  <c r="I608" i="4"/>
  <c r="I609" i="4"/>
  <c r="I610" i="4"/>
  <c r="I611" i="4"/>
  <c r="I612" i="4"/>
  <c r="I613" i="4"/>
  <c r="I614" i="4"/>
  <c r="I615" i="4"/>
  <c r="I616" i="4"/>
  <c r="I617" i="4"/>
  <c r="I618" i="4"/>
  <c r="I619" i="4"/>
  <c r="I620" i="4"/>
  <c r="I621" i="4"/>
  <c r="I622" i="4"/>
  <c r="I623" i="4"/>
  <c r="I624" i="4"/>
  <c r="I625" i="4"/>
  <c r="I626" i="4"/>
  <c r="I627" i="4"/>
  <c r="I628" i="4"/>
  <c r="I629" i="4"/>
  <c r="I630" i="4"/>
  <c r="I631" i="4"/>
  <c r="I632" i="4"/>
  <c r="I633" i="4"/>
  <c r="I634" i="4"/>
  <c r="I635" i="4"/>
  <c r="I636" i="4"/>
  <c r="I637" i="4"/>
  <c r="I638" i="4"/>
  <c r="I639" i="4"/>
  <c r="I640" i="4"/>
  <c r="I641" i="4"/>
  <c r="I642" i="4"/>
  <c r="I643" i="4"/>
  <c r="I644" i="4"/>
  <c r="I645" i="4"/>
  <c r="I646" i="4"/>
  <c r="I647" i="4"/>
  <c r="I648" i="4"/>
  <c r="I649" i="4"/>
  <c r="I650" i="4"/>
  <c r="I651" i="4"/>
  <c r="I652" i="4"/>
  <c r="I653" i="4"/>
  <c r="I654" i="4"/>
  <c r="I655" i="4"/>
  <c r="I656" i="4"/>
  <c r="I657" i="4"/>
  <c r="I658" i="4"/>
  <c r="I659" i="4"/>
  <c r="I660" i="4"/>
  <c r="I661" i="4"/>
  <c r="I662" i="4"/>
  <c r="I663" i="4"/>
  <c r="I664" i="4"/>
  <c r="I665" i="4"/>
  <c r="I666" i="4"/>
  <c r="I667" i="4"/>
  <c r="I668" i="4"/>
  <c r="I669" i="4"/>
  <c r="I670" i="4"/>
  <c r="I671" i="4"/>
  <c r="I672" i="4"/>
  <c r="I673" i="4"/>
  <c r="I674" i="4"/>
  <c r="I675" i="4"/>
  <c r="I676" i="4"/>
  <c r="I677" i="4"/>
  <c r="I678" i="4"/>
  <c r="I679" i="4"/>
  <c r="I680" i="4"/>
  <c r="I681" i="4"/>
  <c r="I682" i="4"/>
  <c r="I683" i="4"/>
  <c r="I684" i="4"/>
  <c r="I685" i="4"/>
  <c r="I686" i="4"/>
  <c r="I687" i="4"/>
  <c r="I688" i="4"/>
  <c r="I689" i="4"/>
  <c r="I690" i="4"/>
  <c r="I691" i="4"/>
  <c r="I692" i="4"/>
  <c r="I693" i="4"/>
  <c r="I694" i="4"/>
  <c r="I695" i="4"/>
  <c r="I696" i="4"/>
  <c r="I697" i="4"/>
  <c r="I698" i="4"/>
  <c r="I699" i="4"/>
  <c r="I700" i="4"/>
  <c r="I701" i="4"/>
  <c r="I702" i="4"/>
  <c r="I703" i="4"/>
  <c r="I704" i="4"/>
  <c r="I705" i="4"/>
  <c r="I706" i="4"/>
  <c r="I707" i="4"/>
  <c r="I708" i="4"/>
  <c r="I709" i="4"/>
  <c r="I710" i="4"/>
  <c r="I711" i="4"/>
  <c r="I712" i="4"/>
  <c r="I713" i="4"/>
  <c r="I714" i="4"/>
  <c r="I715" i="4"/>
  <c r="I716" i="4"/>
  <c r="I717" i="4"/>
  <c r="I718" i="4"/>
  <c r="I719" i="4"/>
  <c r="I720" i="4"/>
  <c r="I721" i="4"/>
  <c r="I722" i="4"/>
  <c r="I723" i="4"/>
  <c r="I724" i="4"/>
  <c r="I725" i="4"/>
  <c r="I726" i="4"/>
  <c r="I727" i="4"/>
  <c r="I728" i="4"/>
  <c r="I729" i="4"/>
  <c r="I730" i="4"/>
  <c r="I731" i="4"/>
  <c r="I732" i="4"/>
  <c r="I733" i="4"/>
  <c r="I734" i="4"/>
  <c r="I735" i="4"/>
  <c r="I736" i="4"/>
  <c r="I737" i="4"/>
  <c r="I738" i="4"/>
  <c r="I739" i="4"/>
  <c r="I740" i="4"/>
  <c r="I741" i="4"/>
  <c r="I742" i="4"/>
  <c r="I743" i="4"/>
  <c r="I744" i="4"/>
  <c r="I745" i="4"/>
  <c r="I746" i="4"/>
  <c r="I747" i="4"/>
  <c r="I748" i="4"/>
  <c r="I749" i="4"/>
  <c r="I750" i="4"/>
  <c r="I751" i="4"/>
  <c r="I752" i="4"/>
  <c r="I753" i="4"/>
  <c r="I754" i="4"/>
  <c r="I755" i="4"/>
  <c r="I756" i="4"/>
  <c r="I757" i="4"/>
  <c r="I758" i="4"/>
  <c r="I759" i="4"/>
  <c r="I760" i="4"/>
  <c r="I761" i="4"/>
  <c r="I762" i="4"/>
  <c r="I763" i="4"/>
  <c r="I764" i="4"/>
  <c r="I765" i="4"/>
  <c r="I766" i="4"/>
  <c r="I767" i="4"/>
  <c r="I768" i="4"/>
  <c r="I769" i="4"/>
  <c r="I770" i="4"/>
  <c r="I771" i="4"/>
  <c r="I772" i="4"/>
  <c r="I773" i="4"/>
  <c r="I774" i="4"/>
  <c r="I775" i="4"/>
  <c r="I776" i="4"/>
  <c r="I777" i="4"/>
  <c r="I778" i="4"/>
  <c r="I779" i="4"/>
  <c r="I780" i="4"/>
  <c r="I781" i="4"/>
  <c r="I782" i="4"/>
  <c r="I783" i="4"/>
  <c r="I784" i="4"/>
  <c r="I785" i="4"/>
  <c r="I786" i="4"/>
  <c r="I787" i="4"/>
  <c r="I788" i="4"/>
  <c r="I789" i="4"/>
  <c r="I790" i="4"/>
  <c r="I791" i="4"/>
  <c r="I792" i="4"/>
  <c r="I793" i="4"/>
  <c r="I794" i="4"/>
  <c r="I795" i="4"/>
  <c r="I796" i="4"/>
  <c r="I797" i="4"/>
  <c r="I798" i="4"/>
  <c r="I799" i="4"/>
  <c r="I800" i="4"/>
  <c r="I801" i="4"/>
  <c r="I802" i="4"/>
  <c r="I803" i="4"/>
  <c r="I804" i="4"/>
  <c r="I805" i="4"/>
  <c r="I806" i="4"/>
  <c r="I807" i="4"/>
  <c r="I808" i="4"/>
  <c r="I809" i="4"/>
  <c r="I810" i="4"/>
  <c r="I811" i="4"/>
  <c r="I812" i="4"/>
  <c r="I813" i="4"/>
  <c r="I814" i="4"/>
  <c r="I815" i="4"/>
  <c r="I816" i="4"/>
  <c r="I817" i="4"/>
  <c r="I818" i="4"/>
  <c r="I819" i="4"/>
  <c r="I820" i="4"/>
  <c r="I821" i="4"/>
  <c r="I822" i="4"/>
  <c r="I823" i="4"/>
  <c r="I824" i="4"/>
  <c r="I825" i="4"/>
  <c r="I826" i="4"/>
  <c r="I827" i="4"/>
  <c r="I828" i="4"/>
  <c r="I829" i="4"/>
  <c r="I830" i="4"/>
  <c r="I831" i="4"/>
  <c r="I832" i="4"/>
  <c r="I833" i="4"/>
  <c r="I834" i="4"/>
  <c r="I835" i="4"/>
  <c r="I836" i="4"/>
  <c r="I837" i="4"/>
  <c r="I838" i="4"/>
  <c r="I839" i="4"/>
  <c r="I840" i="4"/>
  <c r="I841" i="4"/>
  <c r="I842" i="4"/>
  <c r="I843" i="4"/>
  <c r="I844" i="4"/>
  <c r="I845" i="4"/>
  <c r="I846" i="4"/>
  <c r="I847" i="4"/>
  <c r="I848" i="4"/>
  <c r="I849" i="4"/>
  <c r="I850" i="4"/>
  <c r="I851" i="4"/>
  <c r="I852" i="4"/>
  <c r="I853" i="4"/>
  <c r="I854" i="4"/>
  <c r="I855" i="4"/>
  <c r="I856" i="4"/>
  <c r="I857" i="4"/>
  <c r="I858" i="4"/>
  <c r="I859" i="4"/>
  <c r="I860" i="4"/>
  <c r="I861" i="4"/>
  <c r="I862" i="4"/>
  <c r="I863" i="4"/>
  <c r="I864" i="4"/>
  <c r="I865" i="4"/>
  <c r="I866" i="4"/>
  <c r="I867" i="4"/>
  <c r="I868" i="4"/>
  <c r="I869" i="4"/>
  <c r="I870" i="4"/>
  <c r="I871" i="4"/>
  <c r="I872" i="4"/>
  <c r="I873" i="4"/>
  <c r="I874" i="4"/>
  <c r="I875" i="4"/>
  <c r="I876" i="4"/>
  <c r="I877" i="4"/>
  <c r="I878" i="4"/>
  <c r="I879" i="4"/>
  <c r="I880" i="4"/>
  <c r="I881" i="4"/>
  <c r="I882" i="4"/>
  <c r="I883" i="4"/>
  <c r="I884" i="4"/>
  <c r="I885" i="4"/>
  <c r="I886" i="4"/>
  <c r="I887" i="4"/>
  <c r="I888" i="4"/>
  <c r="I889" i="4"/>
  <c r="I890" i="4"/>
  <c r="I891" i="4"/>
  <c r="I892" i="4"/>
  <c r="I893" i="4"/>
  <c r="I894" i="4"/>
  <c r="I895" i="4"/>
  <c r="I896" i="4"/>
  <c r="I897" i="4"/>
  <c r="I898" i="4"/>
  <c r="I899" i="4"/>
  <c r="I900" i="4"/>
  <c r="I901" i="4"/>
  <c r="I902" i="4"/>
  <c r="I903" i="4"/>
  <c r="I904" i="4"/>
  <c r="I905" i="4"/>
  <c r="I906" i="4"/>
  <c r="I907" i="4"/>
  <c r="I908" i="4"/>
  <c r="I909" i="4"/>
  <c r="I910" i="4"/>
  <c r="I911" i="4"/>
  <c r="I912" i="4"/>
  <c r="I913" i="4"/>
  <c r="I914" i="4"/>
  <c r="I915" i="4"/>
  <c r="I916" i="4"/>
  <c r="I917" i="4"/>
  <c r="I918" i="4"/>
  <c r="I919" i="4"/>
  <c r="I920" i="4"/>
  <c r="I921" i="4"/>
  <c r="I922" i="4"/>
  <c r="I923" i="4"/>
  <c r="I924" i="4"/>
  <c r="I925" i="4"/>
  <c r="I926" i="4"/>
  <c r="I927" i="4"/>
  <c r="I928" i="4"/>
  <c r="I929" i="4"/>
  <c r="I930" i="4"/>
  <c r="I931" i="4"/>
  <c r="I932" i="4"/>
  <c r="I933" i="4"/>
  <c r="I934" i="4"/>
  <c r="I935" i="4"/>
  <c r="I936" i="4"/>
  <c r="I937" i="4"/>
  <c r="I938" i="4"/>
  <c r="I939" i="4"/>
  <c r="I940" i="4"/>
  <c r="I941" i="4"/>
  <c r="I942" i="4"/>
  <c r="I943" i="4"/>
  <c r="I944" i="4"/>
  <c r="I945" i="4"/>
  <c r="I946" i="4"/>
  <c r="I947" i="4"/>
  <c r="I948" i="4"/>
  <c r="I949" i="4"/>
  <c r="I950" i="4"/>
  <c r="I951" i="4"/>
  <c r="I952" i="4"/>
  <c r="I953" i="4"/>
  <c r="I954" i="4"/>
  <c r="I955" i="4"/>
  <c r="I956" i="4"/>
  <c r="I957" i="4"/>
  <c r="I958" i="4"/>
  <c r="I959" i="4"/>
  <c r="I960" i="4"/>
  <c r="I961" i="4"/>
  <c r="I962" i="4"/>
  <c r="I963" i="4"/>
  <c r="I964" i="4"/>
  <c r="I965" i="4"/>
  <c r="I966" i="4"/>
  <c r="I967" i="4"/>
  <c r="I968" i="4"/>
  <c r="I969" i="4"/>
  <c r="I970" i="4"/>
  <c r="I971" i="4"/>
  <c r="I972" i="4"/>
  <c r="I973" i="4"/>
  <c r="I974" i="4"/>
  <c r="I975" i="4"/>
  <c r="I976" i="4"/>
  <c r="I977" i="4"/>
  <c r="I978" i="4"/>
  <c r="I979" i="4"/>
  <c r="I980" i="4"/>
  <c r="I981" i="4"/>
  <c r="I982" i="4"/>
  <c r="I983" i="4"/>
  <c r="I984" i="4"/>
  <c r="I985" i="4"/>
  <c r="I986" i="4"/>
  <c r="I987" i="4"/>
  <c r="I988" i="4"/>
  <c r="I989" i="4"/>
  <c r="I990" i="4"/>
  <c r="I991" i="4"/>
  <c r="I992" i="4"/>
  <c r="I993" i="4"/>
  <c r="I994" i="4"/>
  <c r="I995" i="4"/>
  <c r="I996" i="4"/>
  <c r="I997" i="4"/>
  <c r="I998" i="4"/>
  <c r="I999" i="4"/>
  <c r="I1000" i="4"/>
  <c r="I1001" i="4"/>
  <c r="I1002" i="4"/>
  <c r="I1003" i="4"/>
  <c r="I1004" i="4"/>
  <c r="I1005" i="4"/>
  <c r="I1006" i="4"/>
  <c r="I1007" i="4"/>
  <c r="I1008" i="4"/>
  <c r="I1009" i="4"/>
  <c r="I1010" i="4"/>
  <c r="I1011" i="4"/>
  <c r="I1012" i="4"/>
  <c r="I1013" i="4"/>
  <c r="I1014" i="4"/>
  <c r="I1015" i="4"/>
  <c r="I1016" i="4"/>
  <c r="I1017" i="4"/>
  <c r="I1018" i="4"/>
  <c r="I1019" i="4"/>
  <c r="I1020" i="4"/>
  <c r="I1021" i="4"/>
  <c r="I1022" i="4"/>
  <c r="I1023" i="4"/>
  <c r="I1024" i="4"/>
  <c r="I1025" i="4"/>
  <c r="I1026" i="4"/>
  <c r="I1027" i="4"/>
  <c r="I1028" i="4"/>
  <c r="I1029" i="4"/>
  <c r="I1030" i="4"/>
  <c r="I1031" i="4"/>
  <c r="I1032" i="4"/>
  <c r="I1033" i="4"/>
  <c r="I1034" i="4"/>
  <c r="I1035" i="4"/>
  <c r="I1036" i="4"/>
  <c r="I1037" i="4"/>
  <c r="I1038" i="4"/>
  <c r="I1039" i="4"/>
  <c r="I1040" i="4"/>
  <c r="I1041" i="4"/>
  <c r="I1042" i="4"/>
  <c r="I1043" i="4"/>
  <c r="I1044" i="4"/>
  <c r="I1045" i="4"/>
  <c r="I1046" i="4"/>
  <c r="I1047" i="4"/>
  <c r="I1048" i="4"/>
  <c r="I1049" i="4"/>
  <c r="I1050" i="4"/>
  <c r="I1051" i="4"/>
  <c r="I1052" i="4"/>
  <c r="I1053" i="4"/>
  <c r="I1054" i="4"/>
  <c r="I1055" i="4"/>
  <c r="I1056" i="4"/>
  <c r="I1057" i="4"/>
  <c r="I1058" i="4"/>
  <c r="I1059" i="4"/>
  <c r="I1060" i="4"/>
  <c r="I1061" i="4"/>
  <c r="I1062" i="4"/>
  <c r="I1063" i="4"/>
  <c r="I1064" i="4"/>
  <c r="I1065" i="4"/>
  <c r="I1066" i="4"/>
  <c r="I1067" i="4"/>
  <c r="I1068" i="4"/>
  <c r="I1069" i="4"/>
  <c r="I1070" i="4"/>
  <c r="I1071" i="4"/>
  <c r="I1072" i="4"/>
  <c r="I1073" i="4"/>
  <c r="I1074" i="4"/>
  <c r="I1075" i="4"/>
  <c r="I1076" i="4"/>
  <c r="I1077" i="4"/>
  <c r="I1078" i="4"/>
  <c r="I1079" i="4"/>
  <c r="I1080" i="4"/>
  <c r="I1081" i="4"/>
  <c r="I1082" i="4"/>
  <c r="I1083" i="4"/>
  <c r="I1084" i="4"/>
  <c r="I1085" i="4"/>
  <c r="I1086" i="4"/>
  <c r="I1087" i="4"/>
  <c r="I1088" i="4"/>
  <c r="I1089" i="4"/>
  <c r="I1090" i="4"/>
  <c r="I1091" i="4"/>
  <c r="I1092" i="4"/>
  <c r="I1093" i="4"/>
  <c r="I1094" i="4"/>
  <c r="I1095" i="4"/>
  <c r="I1096" i="4"/>
  <c r="I1097" i="4"/>
  <c r="I1098" i="4"/>
  <c r="I1099" i="4"/>
  <c r="I1100" i="4"/>
  <c r="I1101" i="4"/>
  <c r="I1102" i="4"/>
  <c r="I1103" i="4"/>
  <c r="I1104" i="4"/>
  <c r="I1105" i="4"/>
  <c r="I1106" i="4"/>
  <c r="I1107" i="4"/>
  <c r="I1108" i="4"/>
  <c r="I1109" i="4"/>
  <c r="I1110" i="4"/>
  <c r="I1111" i="4"/>
  <c r="I1112" i="4"/>
  <c r="I1113" i="4"/>
  <c r="I1114" i="4"/>
  <c r="I1115" i="4"/>
  <c r="I1116" i="4"/>
  <c r="I1117" i="4"/>
  <c r="I1118" i="4"/>
  <c r="I1119" i="4"/>
  <c r="I1120" i="4"/>
  <c r="I1121" i="4"/>
  <c r="I1122" i="4"/>
  <c r="I1123" i="4"/>
  <c r="I1124" i="4"/>
  <c r="I1125" i="4"/>
  <c r="I1126" i="4"/>
  <c r="I1127" i="4"/>
  <c r="I1128" i="4"/>
  <c r="I1129" i="4"/>
  <c r="I1130" i="4"/>
  <c r="I1131" i="4"/>
  <c r="I1132" i="4"/>
  <c r="I1133" i="4"/>
  <c r="I1134" i="4"/>
  <c r="I1135" i="4"/>
  <c r="I1136" i="4"/>
  <c r="I1137" i="4"/>
  <c r="I1138" i="4"/>
  <c r="I1139" i="4"/>
  <c r="I1140" i="4"/>
  <c r="I1141" i="4"/>
  <c r="I1142" i="4"/>
  <c r="I1143" i="4"/>
  <c r="I1144" i="4"/>
  <c r="I1145" i="4"/>
  <c r="I1146" i="4"/>
  <c r="I1147" i="4"/>
  <c r="I1148" i="4"/>
  <c r="I1149" i="4"/>
  <c r="I1150" i="4"/>
  <c r="I1151" i="4"/>
  <c r="I1152" i="4"/>
  <c r="I1153" i="4"/>
  <c r="I1154" i="4"/>
  <c r="I1155" i="4"/>
  <c r="I1156" i="4"/>
  <c r="I1157" i="4"/>
  <c r="I1158" i="4"/>
  <c r="I1159" i="4"/>
  <c r="I1160" i="4"/>
  <c r="I1161" i="4"/>
  <c r="I1162" i="4"/>
  <c r="I1163" i="4"/>
  <c r="I1164" i="4"/>
  <c r="I1165" i="4"/>
  <c r="I1166" i="4"/>
  <c r="I1167" i="4"/>
  <c r="I1168" i="4"/>
  <c r="I1169" i="4"/>
  <c r="I1170" i="4"/>
  <c r="I1171" i="4"/>
  <c r="I1172" i="4"/>
  <c r="I1173" i="4"/>
  <c r="I1174" i="4"/>
  <c r="I1175" i="4"/>
  <c r="I1176" i="4"/>
  <c r="I1177" i="4"/>
  <c r="I1178" i="4"/>
  <c r="I1179" i="4"/>
  <c r="I1180" i="4"/>
  <c r="I1181" i="4"/>
  <c r="I1182" i="4"/>
  <c r="I1183" i="4"/>
  <c r="I1184" i="4"/>
  <c r="I1185" i="4"/>
  <c r="I1186" i="4"/>
  <c r="I1187" i="4"/>
  <c r="I1188" i="4"/>
  <c r="I1189" i="4"/>
  <c r="I1190" i="4"/>
  <c r="I1191" i="4"/>
  <c r="I1192" i="4"/>
  <c r="I1193" i="4"/>
  <c r="I1194" i="4"/>
  <c r="I1195" i="4"/>
  <c r="I1196" i="4"/>
  <c r="I1197" i="4"/>
  <c r="I1198" i="4"/>
  <c r="I1199" i="4"/>
  <c r="I1200" i="4"/>
  <c r="I1201" i="4"/>
  <c r="I1202" i="4"/>
  <c r="I1203" i="4"/>
  <c r="I1204" i="4"/>
  <c r="I1205" i="4"/>
  <c r="I1206" i="4"/>
  <c r="I1207" i="4"/>
  <c r="I1208" i="4"/>
  <c r="I1209" i="4"/>
  <c r="I1210" i="4"/>
  <c r="I1211" i="4"/>
  <c r="I1212" i="4"/>
  <c r="I1213" i="4"/>
  <c r="I1214" i="4"/>
  <c r="I1215" i="4"/>
  <c r="I1216" i="4"/>
  <c r="I1217" i="4"/>
  <c r="I1218" i="4"/>
  <c r="I1219" i="4"/>
  <c r="I1220" i="4"/>
  <c r="I1221" i="4"/>
  <c r="I1222" i="4"/>
  <c r="I1223" i="4"/>
  <c r="I1224" i="4"/>
  <c r="I1225" i="4"/>
  <c r="I1226" i="4"/>
  <c r="I1227" i="4"/>
  <c r="I1228" i="4"/>
  <c r="I1229" i="4"/>
  <c r="I1230" i="4"/>
  <c r="I1231" i="4"/>
  <c r="I1232" i="4"/>
  <c r="I1233" i="4"/>
  <c r="I1234" i="4"/>
  <c r="I1235" i="4"/>
  <c r="I1236" i="4"/>
  <c r="I1237" i="4"/>
  <c r="I1238" i="4"/>
  <c r="I1239" i="4"/>
  <c r="I1240" i="4"/>
  <c r="I1241" i="4"/>
  <c r="I1242" i="4"/>
  <c r="I1243" i="4"/>
  <c r="I1244" i="4"/>
  <c r="I1245" i="4"/>
  <c r="I1246" i="4"/>
  <c r="I1247" i="4"/>
  <c r="I1248" i="4"/>
  <c r="I1249" i="4"/>
  <c r="I1250" i="4"/>
  <c r="I1251" i="4"/>
  <c r="I1252" i="4"/>
  <c r="I1253" i="4"/>
  <c r="I1254" i="4"/>
  <c r="I1255" i="4"/>
  <c r="I1256" i="4"/>
  <c r="I1257" i="4"/>
  <c r="I1258" i="4"/>
  <c r="I1259" i="4"/>
  <c r="G100" i="4"/>
  <c r="G101" i="4"/>
  <c r="G102" i="4"/>
  <c r="G103" i="4"/>
  <c r="G104" i="4"/>
  <c r="G105" i="4"/>
  <c r="G106" i="4"/>
  <c r="G107" i="4"/>
  <c r="G108" i="4"/>
  <c r="G109" i="4"/>
  <c r="G110" i="4"/>
  <c r="G111" i="4"/>
  <c r="G112" i="4"/>
  <c r="G113" i="4"/>
  <c r="G114" i="4"/>
  <c r="G115" i="4"/>
  <c r="G116" i="4"/>
  <c r="G117" i="4"/>
  <c r="G118" i="4"/>
  <c r="G119" i="4"/>
  <c r="G120" i="4"/>
  <c r="G121" i="4"/>
  <c r="G122" i="4"/>
  <c r="G123" i="4"/>
  <c r="G124" i="4"/>
  <c r="G125" i="4"/>
  <c r="G126" i="4"/>
  <c r="G127" i="4"/>
  <c r="G128" i="4"/>
  <c r="G129" i="4"/>
  <c r="G130" i="4"/>
  <c r="G131" i="4"/>
  <c r="G132" i="4"/>
  <c r="G133" i="4"/>
  <c r="G134" i="4"/>
  <c r="G135" i="4"/>
  <c r="G136" i="4"/>
  <c r="G137" i="4"/>
  <c r="G138" i="4"/>
  <c r="G139" i="4"/>
  <c r="G140" i="4"/>
  <c r="G141" i="4"/>
  <c r="G142" i="4"/>
  <c r="G143" i="4"/>
  <c r="G144" i="4"/>
  <c r="G145" i="4"/>
  <c r="G146" i="4"/>
  <c r="G147" i="4"/>
  <c r="G148" i="4"/>
  <c r="G149" i="4"/>
  <c r="G150" i="4"/>
  <c r="G151" i="4"/>
  <c r="G152" i="4"/>
  <c r="G153" i="4"/>
  <c r="G154" i="4"/>
  <c r="G155" i="4"/>
  <c r="G156" i="4"/>
  <c r="G157" i="4"/>
  <c r="G158" i="4"/>
  <c r="G159" i="4"/>
  <c r="G160" i="4"/>
  <c r="G161" i="4"/>
  <c r="G162" i="4"/>
  <c r="G163" i="4"/>
  <c r="G164" i="4"/>
  <c r="G165" i="4"/>
  <c r="G166" i="4"/>
  <c r="G167" i="4"/>
  <c r="G168" i="4"/>
  <c r="G169" i="4"/>
  <c r="G170" i="4"/>
  <c r="G171" i="4"/>
  <c r="G172" i="4"/>
  <c r="G173" i="4"/>
  <c r="G174" i="4"/>
  <c r="G175" i="4"/>
  <c r="G176" i="4"/>
  <c r="G177" i="4"/>
  <c r="G178" i="4"/>
  <c r="G179" i="4"/>
  <c r="G180" i="4"/>
  <c r="G181" i="4"/>
  <c r="G182" i="4"/>
  <c r="G183" i="4"/>
  <c r="G184" i="4"/>
  <c r="G185" i="4"/>
  <c r="G186" i="4"/>
  <c r="G187" i="4"/>
  <c r="G188" i="4"/>
  <c r="G189" i="4"/>
  <c r="G190" i="4"/>
  <c r="G191" i="4"/>
  <c r="G192" i="4"/>
  <c r="G193" i="4"/>
  <c r="G194" i="4"/>
  <c r="G195" i="4"/>
  <c r="G196" i="4"/>
  <c r="G197" i="4"/>
  <c r="G198" i="4"/>
  <c r="G199" i="4"/>
  <c r="G200" i="4"/>
  <c r="G201" i="4"/>
  <c r="G202" i="4"/>
  <c r="G203" i="4"/>
  <c r="G204" i="4"/>
  <c r="G205" i="4"/>
  <c r="G206" i="4"/>
  <c r="G207" i="4"/>
  <c r="G208" i="4"/>
  <c r="G209" i="4"/>
  <c r="G210" i="4"/>
  <c r="G211" i="4"/>
  <c r="G212" i="4"/>
  <c r="G213" i="4"/>
  <c r="G214" i="4"/>
  <c r="G215" i="4"/>
  <c r="G216" i="4"/>
  <c r="G217" i="4"/>
  <c r="G218" i="4"/>
  <c r="G219" i="4"/>
  <c r="G220" i="4"/>
  <c r="G221" i="4"/>
  <c r="G222" i="4"/>
  <c r="G223" i="4"/>
  <c r="G224" i="4"/>
  <c r="G225" i="4"/>
  <c r="G226" i="4"/>
  <c r="G227" i="4"/>
  <c r="G228" i="4"/>
  <c r="G229" i="4"/>
  <c r="G230" i="4"/>
  <c r="G231" i="4"/>
  <c r="G232" i="4"/>
  <c r="G233" i="4"/>
  <c r="G234" i="4"/>
  <c r="G235" i="4"/>
  <c r="G236" i="4"/>
  <c r="G237" i="4"/>
  <c r="G238" i="4"/>
  <c r="G239" i="4"/>
  <c r="G240" i="4"/>
  <c r="G241" i="4"/>
  <c r="G242" i="4"/>
  <c r="G243" i="4"/>
  <c r="G244" i="4"/>
  <c r="G245" i="4"/>
  <c r="G246" i="4"/>
  <c r="G247" i="4"/>
  <c r="G248" i="4"/>
  <c r="G249" i="4"/>
  <c r="G250" i="4"/>
  <c r="G251" i="4"/>
  <c r="G252" i="4"/>
  <c r="G253" i="4"/>
  <c r="G254" i="4"/>
  <c r="G255" i="4"/>
  <c r="G256" i="4"/>
  <c r="G257" i="4"/>
  <c r="G258" i="4"/>
  <c r="G259" i="4"/>
  <c r="G260" i="4"/>
  <c r="G261" i="4"/>
  <c r="G262" i="4"/>
  <c r="G263" i="4"/>
  <c r="G264" i="4"/>
  <c r="G265" i="4"/>
  <c r="G266" i="4"/>
  <c r="G267" i="4"/>
  <c r="G268" i="4"/>
  <c r="G269" i="4"/>
  <c r="G270" i="4"/>
  <c r="G271" i="4"/>
  <c r="G272" i="4"/>
  <c r="G273" i="4"/>
  <c r="G274" i="4"/>
  <c r="G275" i="4"/>
  <c r="G276" i="4"/>
  <c r="G277" i="4"/>
  <c r="G278" i="4"/>
  <c r="G279" i="4"/>
  <c r="G280" i="4"/>
  <c r="G281" i="4"/>
  <c r="G282" i="4"/>
  <c r="G283" i="4"/>
  <c r="G284" i="4"/>
  <c r="G285" i="4"/>
  <c r="G286" i="4"/>
  <c r="G287" i="4"/>
  <c r="G288" i="4"/>
  <c r="G289" i="4"/>
  <c r="G290" i="4"/>
  <c r="G291" i="4"/>
  <c r="G292" i="4"/>
  <c r="G293" i="4"/>
  <c r="G294" i="4"/>
  <c r="G295" i="4"/>
  <c r="G296" i="4"/>
  <c r="G297" i="4"/>
  <c r="G298" i="4"/>
  <c r="G299" i="4"/>
  <c r="G300" i="4"/>
  <c r="G301" i="4"/>
  <c r="G302" i="4"/>
  <c r="G303" i="4"/>
  <c r="G304" i="4"/>
  <c r="G305" i="4"/>
  <c r="G306" i="4"/>
  <c r="G307" i="4"/>
  <c r="G308" i="4"/>
  <c r="G309" i="4"/>
  <c r="G310" i="4"/>
  <c r="G311" i="4"/>
  <c r="G312" i="4"/>
  <c r="G313" i="4"/>
  <c r="G314" i="4"/>
  <c r="G315" i="4"/>
  <c r="G316" i="4"/>
  <c r="G317" i="4"/>
  <c r="G318" i="4"/>
  <c r="G319" i="4"/>
  <c r="G320" i="4"/>
  <c r="G321" i="4"/>
  <c r="G322" i="4"/>
  <c r="G323" i="4"/>
  <c r="G324" i="4"/>
  <c r="G325" i="4"/>
  <c r="G326" i="4"/>
  <c r="G327" i="4"/>
  <c r="G328" i="4"/>
  <c r="G329" i="4"/>
  <c r="G330" i="4"/>
  <c r="G331" i="4"/>
  <c r="G332" i="4"/>
  <c r="G333" i="4"/>
  <c r="G334" i="4"/>
  <c r="G335" i="4"/>
  <c r="G336" i="4"/>
  <c r="G337" i="4"/>
  <c r="G338" i="4"/>
  <c r="G339" i="4"/>
  <c r="G340" i="4"/>
  <c r="G341" i="4"/>
  <c r="G342" i="4"/>
  <c r="G343" i="4"/>
  <c r="G344" i="4"/>
  <c r="G345" i="4"/>
  <c r="G346" i="4"/>
  <c r="G347" i="4"/>
  <c r="G348" i="4"/>
  <c r="G349" i="4"/>
  <c r="G350" i="4"/>
  <c r="G351" i="4"/>
  <c r="G352" i="4"/>
  <c r="G353" i="4"/>
  <c r="G354" i="4"/>
  <c r="G355" i="4"/>
  <c r="G356" i="4"/>
  <c r="G357" i="4"/>
  <c r="G358" i="4"/>
  <c r="G359" i="4"/>
  <c r="G360" i="4"/>
  <c r="G361" i="4"/>
  <c r="G362" i="4"/>
  <c r="G363" i="4"/>
  <c r="G364" i="4"/>
  <c r="G365" i="4"/>
  <c r="G366" i="4"/>
  <c r="G367" i="4"/>
  <c r="G368" i="4"/>
  <c r="G369" i="4"/>
  <c r="G370" i="4"/>
  <c r="G371" i="4"/>
  <c r="G372" i="4"/>
  <c r="G373" i="4"/>
  <c r="G374" i="4"/>
  <c r="G375" i="4"/>
  <c r="G376" i="4"/>
  <c r="G377" i="4"/>
  <c r="G378" i="4"/>
  <c r="G379" i="4"/>
  <c r="G380" i="4"/>
  <c r="G381" i="4"/>
  <c r="G382" i="4"/>
  <c r="G383" i="4"/>
  <c r="G384" i="4"/>
  <c r="G385" i="4"/>
  <c r="G386" i="4"/>
  <c r="G387" i="4"/>
  <c r="G388" i="4"/>
  <c r="G389" i="4"/>
  <c r="G390" i="4"/>
  <c r="G391" i="4"/>
  <c r="G392" i="4"/>
  <c r="G393" i="4"/>
  <c r="G394" i="4"/>
  <c r="G395" i="4"/>
  <c r="G396" i="4"/>
  <c r="G397" i="4"/>
  <c r="G398" i="4"/>
  <c r="G399" i="4"/>
  <c r="G400" i="4"/>
  <c r="G401" i="4"/>
  <c r="G402" i="4"/>
  <c r="G403" i="4"/>
  <c r="G404" i="4"/>
  <c r="G405" i="4"/>
  <c r="G406" i="4"/>
  <c r="G407" i="4"/>
  <c r="G408" i="4"/>
  <c r="G409" i="4"/>
  <c r="G410" i="4"/>
  <c r="G411" i="4"/>
  <c r="G412" i="4"/>
  <c r="G413" i="4"/>
  <c r="G414" i="4"/>
  <c r="G415" i="4"/>
  <c r="G416" i="4"/>
  <c r="G417" i="4"/>
  <c r="G418" i="4"/>
  <c r="G419" i="4"/>
  <c r="G420" i="4"/>
  <c r="G421" i="4"/>
  <c r="G422" i="4"/>
  <c r="G423" i="4"/>
  <c r="G424" i="4"/>
  <c r="G425" i="4"/>
  <c r="G426" i="4"/>
  <c r="G427" i="4"/>
  <c r="G428" i="4"/>
  <c r="G429" i="4"/>
  <c r="G430" i="4"/>
  <c r="G431" i="4"/>
  <c r="G432" i="4"/>
  <c r="G433" i="4"/>
  <c r="G434" i="4"/>
  <c r="G435" i="4"/>
  <c r="G436" i="4"/>
  <c r="G437" i="4"/>
  <c r="G438" i="4"/>
  <c r="G439" i="4"/>
  <c r="G440" i="4"/>
  <c r="G441" i="4"/>
  <c r="G442" i="4"/>
  <c r="G443" i="4"/>
  <c r="G444" i="4"/>
  <c r="G445" i="4"/>
  <c r="G446" i="4"/>
  <c r="G447" i="4"/>
  <c r="G448" i="4"/>
  <c r="G449" i="4"/>
  <c r="G450" i="4"/>
  <c r="G451" i="4"/>
  <c r="G452" i="4"/>
  <c r="G453" i="4"/>
  <c r="G454" i="4"/>
  <c r="G455" i="4"/>
  <c r="G456" i="4"/>
  <c r="G457" i="4"/>
  <c r="G458" i="4"/>
  <c r="G459" i="4"/>
  <c r="G460" i="4"/>
  <c r="G461" i="4"/>
  <c r="G462" i="4"/>
  <c r="G463" i="4"/>
  <c r="G464" i="4"/>
  <c r="G465" i="4"/>
  <c r="G466" i="4"/>
  <c r="G467" i="4"/>
  <c r="G468" i="4"/>
  <c r="G469" i="4"/>
  <c r="G470" i="4"/>
  <c r="G471" i="4"/>
  <c r="G472" i="4"/>
  <c r="G473" i="4"/>
  <c r="G474" i="4"/>
  <c r="G475" i="4"/>
  <c r="G476" i="4"/>
  <c r="G477" i="4"/>
  <c r="G478" i="4"/>
  <c r="G479" i="4"/>
  <c r="G480" i="4"/>
  <c r="G481" i="4"/>
  <c r="G482" i="4"/>
  <c r="G483" i="4"/>
  <c r="G484" i="4"/>
  <c r="G485" i="4"/>
  <c r="G486" i="4"/>
  <c r="G487" i="4"/>
  <c r="G488" i="4"/>
  <c r="G489" i="4"/>
  <c r="G490" i="4"/>
  <c r="G491" i="4"/>
  <c r="G492" i="4"/>
  <c r="G493" i="4"/>
  <c r="G494" i="4"/>
  <c r="G495" i="4"/>
  <c r="G496" i="4"/>
  <c r="G497" i="4"/>
  <c r="G498" i="4"/>
  <c r="G499" i="4"/>
  <c r="G500" i="4"/>
  <c r="G501" i="4"/>
  <c r="G502" i="4"/>
  <c r="G503" i="4"/>
  <c r="G504" i="4"/>
  <c r="G505" i="4"/>
  <c r="G506" i="4"/>
  <c r="G507" i="4"/>
  <c r="G508" i="4"/>
  <c r="G509" i="4"/>
  <c r="G510" i="4"/>
  <c r="G511" i="4"/>
  <c r="G512" i="4"/>
  <c r="G513" i="4"/>
  <c r="G514" i="4"/>
  <c r="G515" i="4"/>
  <c r="G516" i="4"/>
  <c r="G517" i="4"/>
  <c r="G518" i="4"/>
  <c r="G519" i="4"/>
  <c r="G520" i="4"/>
  <c r="G521" i="4"/>
  <c r="G522" i="4"/>
  <c r="G523" i="4"/>
  <c r="G524" i="4"/>
  <c r="G525" i="4"/>
  <c r="G526" i="4"/>
  <c r="G527" i="4"/>
  <c r="G528" i="4"/>
  <c r="G529" i="4"/>
  <c r="G530" i="4"/>
  <c r="G531" i="4"/>
  <c r="G532" i="4"/>
  <c r="G533" i="4"/>
  <c r="G534" i="4"/>
  <c r="G535" i="4"/>
  <c r="G536" i="4"/>
  <c r="G537" i="4"/>
  <c r="G538" i="4"/>
  <c r="G539" i="4"/>
  <c r="G540" i="4"/>
  <c r="G541" i="4"/>
  <c r="G542" i="4"/>
  <c r="G543" i="4"/>
  <c r="G544" i="4"/>
  <c r="G545" i="4"/>
  <c r="G546" i="4"/>
  <c r="G547" i="4"/>
  <c r="G548" i="4"/>
  <c r="G549" i="4"/>
  <c r="G550" i="4"/>
  <c r="G551" i="4"/>
  <c r="G552" i="4"/>
  <c r="G553" i="4"/>
  <c r="G554" i="4"/>
  <c r="G555" i="4"/>
  <c r="G556" i="4"/>
  <c r="G557" i="4"/>
  <c r="G558" i="4"/>
  <c r="G559" i="4"/>
  <c r="G560" i="4"/>
  <c r="G561" i="4"/>
  <c r="G562" i="4"/>
  <c r="G563" i="4"/>
  <c r="G564" i="4"/>
  <c r="G565" i="4"/>
  <c r="G566" i="4"/>
  <c r="G567" i="4"/>
  <c r="G568" i="4"/>
  <c r="G569" i="4"/>
  <c r="G570" i="4"/>
  <c r="G571" i="4"/>
  <c r="G572" i="4"/>
  <c r="G573" i="4"/>
  <c r="G574" i="4"/>
  <c r="G575" i="4"/>
  <c r="G576" i="4"/>
  <c r="G577" i="4"/>
  <c r="G578" i="4"/>
  <c r="G579" i="4"/>
  <c r="G580" i="4"/>
  <c r="G581" i="4"/>
  <c r="G582" i="4"/>
  <c r="G583" i="4"/>
  <c r="G584" i="4"/>
  <c r="G585" i="4"/>
  <c r="G586" i="4"/>
  <c r="G587" i="4"/>
  <c r="G588" i="4"/>
  <c r="G589" i="4"/>
  <c r="G590" i="4"/>
  <c r="G591" i="4"/>
  <c r="G592" i="4"/>
  <c r="G593" i="4"/>
  <c r="G594" i="4"/>
  <c r="G595" i="4"/>
  <c r="G596" i="4"/>
  <c r="G597" i="4"/>
  <c r="G598" i="4"/>
  <c r="G599" i="4"/>
  <c r="G600" i="4"/>
  <c r="G601" i="4"/>
  <c r="G602" i="4"/>
  <c r="G603" i="4"/>
  <c r="G604" i="4"/>
  <c r="G605" i="4"/>
  <c r="G606" i="4"/>
  <c r="G607" i="4"/>
  <c r="G608" i="4"/>
  <c r="G609" i="4"/>
  <c r="G610" i="4"/>
  <c r="G611" i="4"/>
  <c r="G612" i="4"/>
  <c r="G613" i="4"/>
  <c r="G614" i="4"/>
  <c r="G615" i="4"/>
  <c r="G616" i="4"/>
  <c r="G617" i="4"/>
  <c r="G618" i="4"/>
  <c r="G619" i="4"/>
  <c r="G620" i="4"/>
  <c r="G621" i="4"/>
  <c r="G622" i="4"/>
  <c r="G623" i="4"/>
  <c r="G624" i="4"/>
  <c r="G625" i="4"/>
  <c r="G626" i="4"/>
  <c r="G627" i="4"/>
  <c r="G628" i="4"/>
  <c r="G629" i="4"/>
  <c r="G630" i="4"/>
  <c r="G631" i="4"/>
  <c r="G632" i="4"/>
  <c r="G633" i="4"/>
  <c r="G634" i="4"/>
  <c r="G635" i="4"/>
  <c r="G636" i="4"/>
  <c r="G637" i="4"/>
  <c r="G638" i="4"/>
  <c r="G639" i="4"/>
  <c r="G640" i="4"/>
  <c r="G641" i="4"/>
  <c r="G642" i="4"/>
  <c r="G643" i="4"/>
  <c r="G644" i="4"/>
  <c r="G645" i="4"/>
  <c r="G646" i="4"/>
  <c r="G647" i="4"/>
  <c r="G648" i="4"/>
  <c r="G649" i="4"/>
  <c r="G650" i="4"/>
  <c r="G651" i="4"/>
  <c r="G652" i="4"/>
  <c r="G653" i="4"/>
  <c r="G654" i="4"/>
  <c r="G655" i="4"/>
  <c r="G656" i="4"/>
  <c r="G657" i="4"/>
  <c r="G658" i="4"/>
  <c r="G659" i="4"/>
  <c r="G660" i="4"/>
  <c r="G661" i="4"/>
  <c r="G662" i="4"/>
  <c r="G663" i="4"/>
  <c r="G664" i="4"/>
  <c r="G665" i="4"/>
  <c r="G666" i="4"/>
  <c r="G667" i="4"/>
  <c r="G668" i="4"/>
  <c r="G669" i="4"/>
  <c r="G670" i="4"/>
  <c r="G671" i="4"/>
  <c r="G672" i="4"/>
  <c r="G673" i="4"/>
  <c r="G674" i="4"/>
  <c r="G675" i="4"/>
  <c r="G676" i="4"/>
  <c r="G677" i="4"/>
  <c r="G678" i="4"/>
  <c r="G679" i="4"/>
  <c r="G680" i="4"/>
  <c r="G681" i="4"/>
  <c r="G682" i="4"/>
  <c r="G683" i="4"/>
  <c r="G684" i="4"/>
  <c r="G685" i="4"/>
  <c r="G686" i="4"/>
  <c r="G687" i="4"/>
  <c r="G688" i="4"/>
  <c r="G689" i="4"/>
  <c r="G690" i="4"/>
  <c r="G691" i="4"/>
  <c r="G692" i="4"/>
  <c r="G693" i="4"/>
  <c r="G694" i="4"/>
  <c r="G695" i="4"/>
  <c r="G696" i="4"/>
  <c r="G697" i="4"/>
  <c r="G698" i="4"/>
  <c r="G699" i="4"/>
  <c r="G700" i="4"/>
  <c r="G701" i="4"/>
  <c r="G702" i="4"/>
  <c r="G703" i="4"/>
  <c r="G704" i="4"/>
  <c r="G705" i="4"/>
  <c r="G706" i="4"/>
  <c r="G707" i="4"/>
  <c r="G708" i="4"/>
  <c r="G709" i="4"/>
  <c r="G710" i="4"/>
  <c r="G711" i="4"/>
  <c r="G712" i="4"/>
  <c r="G713" i="4"/>
  <c r="G714" i="4"/>
  <c r="G715" i="4"/>
  <c r="G716" i="4"/>
  <c r="G717" i="4"/>
  <c r="G718" i="4"/>
  <c r="G719" i="4"/>
  <c r="G720" i="4"/>
  <c r="G721" i="4"/>
  <c r="G722" i="4"/>
  <c r="G723" i="4"/>
  <c r="G724" i="4"/>
  <c r="G725" i="4"/>
  <c r="G726" i="4"/>
  <c r="G727" i="4"/>
  <c r="G728" i="4"/>
  <c r="G729" i="4"/>
  <c r="G730" i="4"/>
  <c r="G731" i="4"/>
  <c r="G732" i="4"/>
  <c r="G733" i="4"/>
  <c r="G734" i="4"/>
  <c r="G735" i="4"/>
  <c r="G736" i="4"/>
  <c r="G737" i="4"/>
  <c r="G738" i="4"/>
  <c r="G739" i="4"/>
  <c r="G740" i="4"/>
  <c r="G741" i="4"/>
  <c r="G742" i="4"/>
  <c r="G743" i="4"/>
  <c r="G744" i="4"/>
  <c r="G745" i="4"/>
  <c r="G746" i="4"/>
  <c r="G747" i="4"/>
  <c r="G748" i="4"/>
  <c r="G749" i="4"/>
  <c r="G750" i="4"/>
  <c r="G751" i="4"/>
  <c r="G752" i="4"/>
  <c r="G753" i="4"/>
  <c r="G754" i="4"/>
  <c r="G755" i="4"/>
  <c r="G756" i="4"/>
  <c r="G757" i="4"/>
  <c r="G758" i="4"/>
  <c r="G759" i="4"/>
  <c r="G760" i="4"/>
  <c r="G761" i="4"/>
  <c r="G762" i="4"/>
  <c r="G763" i="4"/>
  <c r="G764" i="4"/>
  <c r="G765" i="4"/>
  <c r="G766" i="4"/>
  <c r="G767" i="4"/>
  <c r="G768" i="4"/>
  <c r="G769" i="4"/>
  <c r="G770" i="4"/>
  <c r="G771" i="4"/>
  <c r="G772" i="4"/>
  <c r="G773" i="4"/>
  <c r="G774" i="4"/>
  <c r="G775" i="4"/>
  <c r="G776" i="4"/>
  <c r="G777" i="4"/>
  <c r="G778" i="4"/>
  <c r="G779" i="4"/>
  <c r="G780" i="4"/>
  <c r="G781" i="4"/>
  <c r="G782" i="4"/>
  <c r="G783" i="4"/>
  <c r="G784" i="4"/>
  <c r="G785" i="4"/>
  <c r="G786" i="4"/>
  <c r="G787" i="4"/>
  <c r="G788" i="4"/>
  <c r="G789" i="4"/>
  <c r="G790" i="4"/>
  <c r="G791" i="4"/>
  <c r="G792" i="4"/>
  <c r="G793" i="4"/>
  <c r="G794" i="4"/>
  <c r="G795" i="4"/>
  <c r="G796" i="4"/>
  <c r="G797" i="4"/>
  <c r="G798" i="4"/>
  <c r="G799" i="4"/>
  <c r="G800" i="4"/>
  <c r="G801" i="4"/>
  <c r="G802" i="4"/>
  <c r="G803" i="4"/>
  <c r="G804" i="4"/>
  <c r="G805" i="4"/>
  <c r="G806" i="4"/>
  <c r="G807" i="4"/>
  <c r="G808" i="4"/>
  <c r="G809" i="4"/>
  <c r="G810" i="4"/>
  <c r="G811" i="4"/>
  <c r="G812" i="4"/>
  <c r="G813" i="4"/>
  <c r="G814" i="4"/>
  <c r="G815" i="4"/>
  <c r="G816" i="4"/>
  <c r="G817" i="4"/>
  <c r="G818" i="4"/>
  <c r="G819" i="4"/>
  <c r="G820" i="4"/>
  <c r="G821" i="4"/>
  <c r="G822" i="4"/>
  <c r="G823" i="4"/>
  <c r="G824" i="4"/>
  <c r="G825" i="4"/>
  <c r="G826" i="4"/>
  <c r="G827" i="4"/>
  <c r="G828" i="4"/>
  <c r="G829" i="4"/>
  <c r="G830" i="4"/>
  <c r="G831" i="4"/>
  <c r="G832" i="4"/>
  <c r="G833" i="4"/>
  <c r="G834" i="4"/>
  <c r="G835" i="4"/>
  <c r="G836" i="4"/>
  <c r="G837" i="4"/>
  <c r="G838" i="4"/>
  <c r="G839" i="4"/>
  <c r="G840" i="4"/>
  <c r="G841" i="4"/>
  <c r="G842" i="4"/>
  <c r="G843" i="4"/>
  <c r="G844" i="4"/>
  <c r="G845" i="4"/>
  <c r="G846" i="4"/>
  <c r="G847" i="4"/>
  <c r="G848" i="4"/>
  <c r="G849" i="4"/>
  <c r="G850" i="4"/>
  <c r="G851" i="4"/>
  <c r="G852" i="4"/>
  <c r="G853" i="4"/>
  <c r="G854" i="4"/>
  <c r="G855" i="4"/>
  <c r="G856" i="4"/>
  <c r="G857" i="4"/>
  <c r="G858" i="4"/>
  <c r="G859" i="4"/>
  <c r="G860" i="4"/>
  <c r="G861" i="4"/>
  <c r="G862" i="4"/>
  <c r="G863" i="4"/>
  <c r="G864" i="4"/>
  <c r="G865" i="4"/>
  <c r="G866" i="4"/>
  <c r="G867" i="4"/>
  <c r="G868" i="4"/>
  <c r="G869" i="4"/>
  <c r="G870" i="4"/>
  <c r="G871" i="4"/>
  <c r="G872" i="4"/>
  <c r="G873" i="4"/>
  <c r="G874" i="4"/>
  <c r="G875" i="4"/>
  <c r="G876" i="4"/>
  <c r="G877" i="4"/>
  <c r="G878" i="4"/>
  <c r="G879" i="4"/>
  <c r="G880" i="4"/>
  <c r="G881" i="4"/>
  <c r="G882" i="4"/>
  <c r="G883" i="4"/>
  <c r="G884" i="4"/>
  <c r="G885" i="4"/>
  <c r="G886" i="4"/>
  <c r="G887" i="4"/>
  <c r="G888" i="4"/>
  <c r="G889" i="4"/>
  <c r="G890" i="4"/>
  <c r="G891" i="4"/>
  <c r="G892" i="4"/>
  <c r="G893" i="4"/>
  <c r="G894" i="4"/>
  <c r="G895" i="4"/>
  <c r="G896" i="4"/>
  <c r="G897" i="4"/>
  <c r="G898" i="4"/>
  <c r="G899" i="4"/>
  <c r="G900" i="4"/>
  <c r="G901" i="4"/>
  <c r="G902" i="4"/>
  <c r="G903" i="4"/>
  <c r="G904" i="4"/>
  <c r="G905" i="4"/>
  <c r="G906" i="4"/>
  <c r="G907" i="4"/>
  <c r="G908" i="4"/>
  <c r="G909" i="4"/>
  <c r="G910" i="4"/>
  <c r="G911" i="4"/>
  <c r="G912" i="4"/>
  <c r="G913" i="4"/>
  <c r="G914" i="4"/>
  <c r="G915" i="4"/>
  <c r="G916" i="4"/>
  <c r="G917" i="4"/>
  <c r="G918" i="4"/>
  <c r="G919" i="4"/>
  <c r="G920" i="4"/>
  <c r="G921" i="4"/>
  <c r="G922" i="4"/>
  <c r="G923" i="4"/>
  <c r="G924" i="4"/>
  <c r="G925" i="4"/>
  <c r="G926" i="4"/>
  <c r="G927" i="4"/>
  <c r="G928" i="4"/>
  <c r="G929" i="4"/>
  <c r="G930" i="4"/>
  <c r="G931" i="4"/>
  <c r="G932" i="4"/>
  <c r="G933" i="4"/>
  <c r="G934" i="4"/>
  <c r="G935" i="4"/>
  <c r="G936" i="4"/>
  <c r="G937" i="4"/>
  <c r="G938" i="4"/>
  <c r="G939" i="4"/>
  <c r="G940" i="4"/>
  <c r="G941" i="4"/>
  <c r="G942" i="4"/>
  <c r="G943" i="4"/>
  <c r="G944" i="4"/>
  <c r="G945" i="4"/>
  <c r="G946" i="4"/>
  <c r="G947" i="4"/>
  <c r="G948" i="4"/>
  <c r="G949" i="4"/>
  <c r="G950" i="4"/>
  <c r="G951" i="4"/>
  <c r="G952" i="4"/>
  <c r="G953" i="4"/>
  <c r="G954" i="4"/>
  <c r="G955" i="4"/>
  <c r="G956" i="4"/>
  <c r="G957" i="4"/>
  <c r="G958" i="4"/>
  <c r="G959" i="4"/>
  <c r="G960" i="4"/>
  <c r="G961" i="4"/>
  <c r="G962" i="4"/>
  <c r="G963" i="4"/>
  <c r="G964" i="4"/>
  <c r="G965" i="4"/>
  <c r="G966" i="4"/>
  <c r="G967" i="4"/>
  <c r="G968" i="4"/>
  <c r="G969" i="4"/>
  <c r="G970" i="4"/>
  <c r="G971" i="4"/>
  <c r="G972" i="4"/>
  <c r="G973" i="4"/>
  <c r="G974" i="4"/>
  <c r="G975" i="4"/>
  <c r="G976" i="4"/>
  <c r="G977" i="4"/>
  <c r="G978" i="4"/>
  <c r="G979" i="4"/>
  <c r="G980" i="4"/>
  <c r="G981" i="4"/>
  <c r="G982" i="4"/>
  <c r="G983" i="4"/>
  <c r="G984" i="4"/>
  <c r="G985" i="4"/>
  <c r="G986" i="4"/>
  <c r="G987" i="4"/>
  <c r="G988" i="4"/>
  <c r="G989" i="4"/>
  <c r="G990" i="4"/>
  <c r="G991" i="4"/>
  <c r="G992" i="4"/>
  <c r="G993" i="4"/>
  <c r="G994" i="4"/>
  <c r="G995" i="4"/>
  <c r="G996" i="4"/>
  <c r="G997" i="4"/>
  <c r="G998" i="4"/>
  <c r="G999" i="4"/>
  <c r="G1000" i="4"/>
  <c r="G1001" i="4"/>
  <c r="G1002" i="4"/>
  <c r="G1003" i="4"/>
  <c r="G1004" i="4"/>
  <c r="G1005" i="4"/>
  <c r="G1006" i="4"/>
  <c r="G1007" i="4"/>
  <c r="G1008" i="4"/>
  <c r="G1009" i="4"/>
  <c r="G1010" i="4"/>
  <c r="G1011" i="4"/>
  <c r="G1012" i="4"/>
  <c r="G1013" i="4"/>
  <c r="G1014" i="4"/>
  <c r="G1015" i="4"/>
  <c r="G1016" i="4"/>
  <c r="G1017" i="4"/>
  <c r="G1018" i="4"/>
  <c r="G1019" i="4"/>
  <c r="G1020" i="4"/>
  <c r="G1021" i="4"/>
  <c r="G1022" i="4"/>
  <c r="G1023" i="4"/>
  <c r="G1024" i="4"/>
  <c r="G1025" i="4"/>
  <c r="G1026" i="4"/>
  <c r="G1027" i="4"/>
  <c r="G1028" i="4"/>
  <c r="G1029" i="4"/>
  <c r="G1030" i="4"/>
  <c r="G1031" i="4"/>
  <c r="G1032" i="4"/>
  <c r="G1033" i="4"/>
  <c r="G1034" i="4"/>
  <c r="G1035" i="4"/>
  <c r="G1036" i="4"/>
  <c r="G1037" i="4"/>
  <c r="G1038" i="4"/>
  <c r="G1039" i="4"/>
  <c r="G1040" i="4"/>
  <c r="G1041" i="4"/>
  <c r="G1042" i="4"/>
  <c r="G1043" i="4"/>
  <c r="G1044" i="4"/>
  <c r="G1045" i="4"/>
  <c r="G1046" i="4"/>
  <c r="G1047" i="4"/>
  <c r="G1048" i="4"/>
  <c r="G1049" i="4"/>
  <c r="G1050" i="4"/>
  <c r="G1051" i="4"/>
  <c r="G1052" i="4"/>
  <c r="G1053" i="4"/>
  <c r="G1054" i="4"/>
  <c r="G1055" i="4"/>
  <c r="G1056" i="4"/>
  <c r="G1057" i="4"/>
  <c r="G1058" i="4"/>
  <c r="G1059" i="4"/>
  <c r="G1060" i="4"/>
  <c r="G1061" i="4"/>
  <c r="G1062" i="4"/>
  <c r="G1063" i="4"/>
  <c r="G1064" i="4"/>
  <c r="G1065" i="4"/>
  <c r="G1066" i="4"/>
  <c r="G1067" i="4"/>
  <c r="G1068" i="4"/>
  <c r="G1069" i="4"/>
  <c r="G1070" i="4"/>
  <c r="G1071" i="4"/>
  <c r="G1072" i="4"/>
  <c r="G1073" i="4"/>
  <c r="G1074" i="4"/>
  <c r="G1075" i="4"/>
  <c r="G1076" i="4"/>
  <c r="G1077" i="4"/>
  <c r="G1078" i="4"/>
  <c r="G1079" i="4"/>
  <c r="G1080" i="4"/>
  <c r="G1081" i="4"/>
  <c r="G1082" i="4"/>
  <c r="G1083" i="4"/>
  <c r="G1084" i="4"/>
  <c r="G1085" i="4"/>
  <c r="G1086" i="4"/>
  <c r="G1087" i="4"/>
  <c r="G1088" i="4"/>
  <c r="G1089" i="4"/>
  <c r="G1090" i="4"/>
  <c r="G1091" i="4"/>
  <c r="G1092" i="4"/>
  <c r="G1093" i="4"/>
  <c r="G1094" i="4"/>
  <c r="G1095" i="4"/>
  <c r="G1096" i="4"/>
  <c r="G1097" i="4"/>
  <c r="G1098" i="4"/>
  <c r="G1099" i="4"/>
  <c r="G1100" i="4"/>
  <c r="G1101" i="4"/>
  <c r="G1102" i="4"/>
  <c r="G1103" i="4"/>
  <c r="G1104" i="4"/>
  <c r="G1105" i="4"/>
  <c r="G1106" i="4"/>
  <c r="G1107" i="4"/>
  <c r="G1108" i="4"/>
  <c r="G1109" i="4"/>
  <c r="G1110" i="4"/>
  <c r="G1111" i="4"/>
  <c r="G1112" i="4"/>
  <c r="G1113" i="4"/>
  <c r="G1114" i="4"/>
  <c r="G1115" i="4"/>
  <c r="G1116" i="4"/>
  <c r="G1117" i="4"/>
  <c r="G1118" i="4"/>
  <c r="G1119" i="4"/>
  <c r="G1120" i="4"/>
  <c r="G1121" i="4"/>
  <c r="G1122" i="4"/>
  <c r="G1123" i="4"/>
  <c r="G1124" i="4"/>
  <c r="G1125" i="4"/>
  <c r="G1126" i="4"/>
  <c r="G1127" i="4"/>
  <c r="G1128" i="4"/>
  <c r="G1129" i="4"/>
  <c r="G1130" i="4"/>
  <c r="G1131" i="4"/>
  <c r="G1132" i="4"/>
  <c r="G1133" i="4"/>
  <c r="G1134" i="4"/>
  <c r="G1135" i="4"/>
  <c r="G1136" i="4"/>
  <c r="G1137" i="4"/>
  <c r="G1138" i="4"/>
  <c r="G1139" i="4"/>
  <c r="G1140" i="4"/>
  <c r="G1141" i="4"/>
  <c r="G1142" i="4"/>
  <c r="G1143" i="4"/>
  <c r="G1144" i="4"/>
  <c r="G1145" i="4"/>
  <c r="G1146" i="4"/>
  <c r="G1147" i="4"/>
  <c r="G1148" i="4"/>
  <c r="G1149" i="4"/>
  <c r="G1150" i="4"/>
  <c r="G1151" i="4"/>
  <c r="G1152" i="4"/>
  <c r="G1153" i="4"/>
  <c r="G1154" i="4"/>
  <c r="G1155" i="4"/>
  <c r="G1156" i="4"/>
  <c r="G1157" i="4"/>
  <c r="G1158" i="4"/>
  <c r="G1159" i="4"/>
  <c r="G1160" i="4"/>
  <c r="G1161" i="4"/>
  <c r="G1162" i="4"/>
  <c r="G1163" i="4"/>
  <c r="G1164" i="4"/>
  <c r="G1165" i="4"/>
  <c r="G1166" i="4"/>
  <c r="G1167" i="4"/>
  <c r="G1168" i="4"/>
  <c r="G1169" i="4"/>
  <c r="G1170" i="4"/>
  <c r="G1171" i="4"/>
  <c r="G1172" i="4"/>
  <c r="G1173" i="4"/>
  <c r="G1174" i="4"/>
  <c r="G1175" i="4"/>
  <c r="G1176" i="4"/>
  <c r="G1177" i="4"/>
  <c r="G1178" i="4"/>
  <c r="G1179" i="4"/>
  <c r="G1180" i="4"/>
  <c r="G1181" i="4"/>
  <c r="G1182" i="4"/>
  <c r="G1183" i="4"/>
  <c r="G1184" i="4"/>
  <c r="G1185" i="4"/>
  <c r="G1186" i="4"/>
  <c r="G1187" i="4"/>
  <c r="G1188" i="4"/>
  <c r="G1189" i="4"/>
  <c r="G1190" i="4"/>
  <c r="G1191" i="4"/>
  <c r="G1192" i="4"/>
  <c r="G1193" i="4"/>
  <c r="G1194" i="4"/>
  <c r="G1195" i="4"/>
  <c r="G1196" i="4"/>
  <c r="G1197" i="4"/>
  <c r="G1198" i="4"/>
  <c r="G1199" i="4"/>
  <c r="G1200" i="4"/>
  <c r="G1201" i="4"/>
  <c r="G1202" i="4"/>
  <c r="G1203" i="4"/>
  <c r="G1204" i="4"/>
  <c r="G1205" i="4"/>
  <c r="G1206" i="4"/>
  <c r="G1207" i="4"/>
  <c r="G1208" i="4"/>
  <c r="G1209" i="4"/>
  <c r="G1210" i="4"/>
  <c r="G1211" i="4"/>
  <c r="G1212" i="4"/>
  <c r="G1213" i="4"/>
  <c r="G1214" i="4"/>
  <c r="G1215" i="4"/>
  <c r="G1216" i="4"/>
  <c r="G1217" i="4"/>
  <c r="G1218" i="4"/>
  <c r="G1219" i="4"/>
  <c r="G1220" i="4"/>
  <c r="G1221" i="4"/>
  <c r="G1222" i="4"/>
  <c r="G1223" i="4"/>
  <c r="G1224" i="4"/>
  <c r="G1225" i="4"/>
  <c r="G1226" i="4"/>
  <c r="G1227" i="4"/>
  <c r="G1228" i="4"/>
  <c r="G1229" i="4"/>
  <c r="G1230" i="4"/>
  <c r="G1231" i="4"/>
  <c r="G1232" i="4"/>
  <c r="G1233" i="4"/>
  <c r="G1234" i="4"/>
  <c r="G1235" i="4"/>
  <c r="G1236" i="4"/>
  <c r="G1237" i="4"/>
  <c r="G1238" i="4"/>
  <c r="G1239" i="4"/>
  <c r="G1240" i="4"/>
  <c r="G1241" i="4"/>
  <c r="G1242" i="4"/>
  <c r="G1243" i="4"/>
  <c r="G1244" i="4"/>
  <c r="G1245" i="4"/>
  <c r="G1246" i="4"/>
  <c r="G1247" i="4"/>
  <c r="G1248" i="4"/>
  <c r="G1249" i="4"/>
  <c r="G1250" i="4"/>
  <c r="G1251" i="4"/>
  <c r="G1252" i="4"/>
  <c r="G1253" i="4"/>
  <c r="G1254" i="4"/>
  <c r="G1255" i="4"/>
  <c r="G1256" i="4"/>
  <c r="G1257" i="4"/>
  <c r="G1258" i="4"/>
  <c r="G1259" i="4"/>
  <c r="E28" i="22"/>
  <c r="E32" i="22"/>
  <c r="E31" i="22"/>
  <c r="E30" i="22"/>
  <c r="E29" i="22"/>
  <c r="E27" i="22"/>
  <c r="E26" i="22"/>
  <c r="B29" i="22"/>
  <c r="B33" i="22"/>
  <c r="B24" i="22"/>
  <c r="B31" i="22"/>
  <c r="B25" i="22"/>
  <c r="C28" i="22"/>
  <c r="B26" i="22"/>
  <c r="C24" i="22"/>
  <c r="C30" i="22"/>
  <c r="C25" i="22"/>
  <c r="C29" i="22"/>
  <c r="B32" i="22"/>
  <c r="C31" i="22"/>
  <c r="B28" i="22"/>
  <c r="C26" i="22"/>
  <c r="C32" i="22"/>
  <c r="B30" i="22"/>
  <c r="C27" i="22"/>
  <c r="F25" i="22" l="1"/>
  <c r="F28" i="22"/>
  <c r="F27" i="22"/>
  <c r="F26" i="22"/>
  <c r="E30" i="30"/>
  <c r="C30" i="30"/>
  <c r="F32" i="22"/>
  <c r="F31" i="22"/>
  <c r="F30" i="22"/>
  <c r="F29" i="22"/>
  <c r="D33" i="22"/>
  <c r="E33" i="22"/>
  <c r="F33" i="22" s="1"/>
  <c r="K25" i="8"/>
  <c r="G15" i="8"/>
  <c r="G16" i="8"/>
  <c r="G17" i="8"/>
  <c r="G18" i="8"/>
  <c r="G19" i="8"/>
  <c r="G20" i="8"/>
  <c r="G21" i="8"/>
  <c r="G22" i="8"/>
  <c r="G23" i="8"/>
  <c r="G24" i="8"/>
  <c r="E15" i="8"/>
  <c r="E16" i="8"/>
  <c r="E17" i="8"/>
  <c r="E18" i="8"/>
  <c r="E19" i="8"/>
  <c r="E20" i="8"/>
  <c r="E21" i="8"/>
  <c r="E22" i="8"/>
  <c r="E23" i="8"/>
  <c r="E24" i="8"/>
  <c r="J25" i="8"/>
  <c r="L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AR25" i="8"/>
  <c r="AS25" i="8"/>
  <c r="AT25" i="8"/>
  <c r="AU25" i="8"/>
  <c r="AV25" i="8"/>
  <c r="AW25" i="8"/>
  <c r="AX25" i="8"/>
  <c r="I25" i="8"/>
  <c r="G81" i="4"/>
  <c r="I81" i="4"/>
  <c r="G82" i="4"/>
  <c r="I82" i="4"/>
  <c r="G83" i="4"/>
  <c r="I83" i="4"/>
  <c r="G84" i="4"/>
  <c r="I84" i="4"/>
  <c r="G85" i="4"/>
  <c r="I85" i="4"/>
  <c r="G86" i="4"/>
  <c r="I86" i="4"/>
  <c r="G87" i="4"/>
  <c r="I87" i="4"/>
  <c r="G88" i="4"/>
  <c r="I88" i="4"/>
  <c r="G89" i="4"/>
  <c r="I89" i="4"/>
  <c r="G90" i="4"/>
  <c r="I90" i="4"/>
  <c r="G91" i="4"/>
  <c r="I91" i="4"/>
  <c r="G92" i="4"/>
  <c r="I92" i="4"/>
  <c r="G93" i="4"/>
  <c r="I93" i="4"/>
  <c r="G94" i="4"/>
  <c r="I94" i="4"/>
  <c r="G95" i="4"/>
  <c r="I95" i="4"/>
  <c r="G96" i="4"/>
  <c r="I96" i="4"/>
  <c r="G97" i="4"/>
  <c r="I97" i="4"/>
  <c r="G98" i="4"/>
  <c r="I98" i="4"/>
  <c r="G99" i="4"/>
  <c r="I99" i="4"/>
  <c r="I73" i="4"/>
  <c r="I74" i="4"/>
  <c r="I75" i="4"/>
  <c r="I76" i="4"/>
  <c r="I77" i="4"/>
  <c r="I78" i="4"/>
  <c r="I79" i="4"/>
  <c r="I80" i="4"/>
  <c r="G73" i="4"/>
  <c r="G74" i="4"/>
  <c r="G75" i="4"/>
  <c r="G76" i="4"/>
  <c r="G77" i="4"/>
  <c r="G78" i="4"/>
  <c r="G79" i="4"/>
  <c r="G80" i="4"/>
  <c r="G7" i="8"/>
  <c r="G8" i="8"/>
  <c r="G9" i="8"/>
  <c r="G10" i="8"/>
  <c r="G11" i="8"/>
  <c r="G12" i="8"/>
  <c r="G13" i="8"/>
  <c r="G14" i="8"/>
  <c r="G6" i="8"/>
  <c r="E6" i="8"/>
  <c r="E7" i="8"/>
  <c r="E8" i="8"/>
  <c r="E9" i="8"/>
  <c r="E10" i="8"/>
  <c r="E11" i="8"/>
  <c r="E12" i="8"/>
  <c r="E13" i="8"/>
  <c r="E14" i="8"/>
  <c r="V67" i="4" l="1"/>
  <c r="T67" i="4"/>
  <c r="T3" i="4" s="1"/>
  <c r="S67" i="4"/>
  <c r="S3" i="4" s="1"/>
  <c r="R67" i="4"/>
  <c r="V66" i="4"/>
  <c r="V3" i="4" s="1"/>
  <c r="R66" i="4"/>
  <c r="R65" i="4"/>
  <c r="I17" i="4"/>
  <c r="I18" i="4"/>
  <c r="I19" i="4"/>
  <c r="I20" i="4"/>
  <c r="I21" i="4"/>
  <c r="I22" i="4"/>
  <c r="I27" i="4"/>
  <c r="I29" i="4"/>
  <c r="I28" i="4"/>
  <c r="I72" i="4"/>
  <c r="I25" i="4"/>
  <c r="I24" i="4"/>
  <c r="I26" i="4"/>
  <c r="I23" i="4"/>
  <c r="I30" i="4"/>
  <c r="I31" i="4"/>
  <c r="I32" i="4"/>
  <c r="I33" i="4"/>
  <c r="I34" i="4"/>
  <c r="I35" i="4"/>
  <c r="I36" i="4"/>
  <c r="I37" i="4"/>
  <c r="I38" i="4"/>
  <c r="I39" i="4"/>
  <c r="I40" i="4"/>
  <c r="I41" i="4"/>
  <c r="I42" i="4"/>
  <c r="I43" i="4"/>
  <c r="I44" i="4"/>
  <c r="I54" i="4"/>
  <c r="I55" i="4"/>
  <c r="I56" i="4"/>
  <c r="I51" i="4"/>
  <c r="I53" i="4"/>
  <c r="I60" i="4"/>
  <c r="I52" i="4"/>
  <c r="I57" i="4"/>
  <c r="I45" i="4"/>
  <c r="I47" i="4"/>
  <c r="I48" i="4"/>
  <c r="I58" i="4"/>
  <c r="I46" i="4"/>
  <c r="I61" i="4"/>
  <c r="I49" i="4"/>
  <c r="I50" i="4"/>
  <c r="I59" i="4"/>
  <c r="I62" i="4"/>
  <c r="I63" i="4"/>
  <c r="I64" i="4"/>
  <c r="I65" i="4"/>
  <c r="I66" i="4"/>
  <c r="I67" i="4"/>
  <c r="I68" i="4"/>
  <c r="I70" i="4"/>
  <c r="I69" i="4"/>
  <c r="I71" i="4"/>
  <c r="G23" i="4"/>
  <c r="G30" i="4"/>
  <c r="G31" i="4"/>
  <c r="G32" i="4"/>
  <c r="G33" i="4"/>
  <c r="G34" i="4"/>
  <c r="G35" i="4"/>
  <c r="G36" i="4"/>
  <c r="G37" i="4"/>
  <c r="G38" i="4"/>
  <c r="G39" i="4"/>
  <c r="G40" i="4"/>
  <c r="G41" i="4"/>
  <c r="G42" i="4"/>
  <c r="G43" i="4"/>
  <c r="G44" i="4"/>
  <c r="G54" i="4"/>
  <c r="G55" i="4"/>
  <c r="G56" i="4"/>
  <c r="G51" i="4"/>
  <c r="G53" i="4"/>
  <c r="G60" i="4"/>
  <c r="G52" i="4"/>
  <c r="G57" i="4"/>
  <c r="G45" i="4"/>
  <c r="G47" i="4"/>
  <c r="G48" i="4"/>
  <c r="G58" i="4"/>
  <c r="G46" i="4"/>
  <c r="G61" i="4"/>
  <c r="G49" i="4"/>
  <c r="G50" i="4"/>
  <c r="G59" i="4"/>
  <c r="G62" i="4"/>
  <c r="G63" i="4"/>
  <c r="G64" i="4"/>
  <c r="G65" i="4"/>
  <c r="G66" i="4"/>
  <c r="G67" i="4"/>
  <c r="G68" i="4"/>
  <c r="G70" i="4"/>
  <c r="G69" i="4"/>
  <c r="G71" i="4"/>
  <c r="G19" i="4"/>
  <c r="G20" i="4"/>
  <c r="G21" i="4"/>
  <c r="G22" i="4"/>
  <c r="G27" i="4"/>
  <c r="G29" i="4"/>
  <c r="G28" i="4"/>
  <c r="G72" i="4"/>
  <c r="G25" i="4"/>
  <c r="G24" i="4"/>
  <c r="G26" i="4"/>
  <c r="G17" i="4"/>
  <c r="G18" i="4"/>
  <c r="L71" i="4"/>
  <c r="L62" i="4"/>
  <c r="L22" i="4"/>
  <c r="I6" i="4"/>
  <c r="I7" i="4"/>
  <c r="I8" i="4"/>
  <c r="I9" i="4"/>
  <c r="I10" i="4"/>
  <c r="I11" i="4"/>
  <c r="I12" i="4"/>
  <c r="I13" i="4"/>
  <c r="I14" i="4"/>
  <c r="I15" i="4"/>
  <c r="I16" i="4"/>
  <c r="G6" i="4"/>
  <c r="G7" i="4"/>
  <c r="G8" i="4"/>
  <c r="G9" i="4"/>
  <c r="G10" i="4"/>
  <c r="G11" i="4"/>
  <c r="G12" i="4"/>
  <c r="G13" i="4"/>
  <c r="G14" i="4"/>
  <c r="G15" i="4"/>
  <c r="G16" i="4"/>
  <c r="I5" i="4"/>
  <c r="G5" i="4"/>
  <c r="R3" i="4" l="1"/>
</calcChain>
</file>

<file path=xl/comments1.xml><?xml version="1.0" encoding="utf-8"?>
<comments xmlns="http://schemas.openxmlformats.org/spreadsheetml/2006/main">
  <authors>
    <author>Sambou</author>
  </authors>
  <commentList>
    <comment ref="C5" authorId="0">
      <text>
        <r>
          <rPr>
            <b/>
            <sz val="8"/>
            <color indexed="81"/>
            <rFont val="Tahoma"/>
            <family val="2"/>
          </rPr>
          <t>Agency for Technical Cooperation and Development</t>
        </r>
      </text>
    </comment>
    <comment ref="D5" authorId="0">
      <text>
        <r>
          <rPr>
            <b/>
            <sz val="8"/>
            <color indexed="81"/>
            <rFont val="Tahoma"/>
            <family val="2"/>
          </rPr>
          <t>Agency for Technical Cooperation and Development</t>
        </r>
      </text>
    </comment>
    <comment ref="C6" authorId="0">
      <text>
        <r>
          <rPr>
            <b/>
            <sz val="8"/>
            <color indexed="81"/>
            <rFont val="Tahoma"/>
            <family val="2"/>
          </rPr>
          <t>Agency for Technical Cooperation and Development</t>
        </r>
      </text>
    </comment>
    <comment ref="D6" authorId="0">
      <text>
        <r>
          <rPr>
            <b/>
            <sz val="8"/>
            <color indexed="81"/>
            <rFont val="Tahoma"/>
            <family val="2"/>
          </rPr>
          <t>Agency for Technical Cooperation and Development</t>
        </r>
      </text>
    </comment>
    <comment ref="C7" authorId="0">
      <text>
        <r>
          <rPr>
            <b/>
            <sz val="8"/>
            <color indexed="81"/>
            <rFont val="Tahoma"/>
            <family val="2"/>
          </rPr>
          <t>Agency for Technical Cooperation and Development</t>
        </r>
      </text>
    </comment>
    <comment ref="D7" authorId="0">
      <text>
        <r>
          <rPr>
            <b/>
            <sz val="8"/>
            <color indexed="81"/>
            <rFont val="Tahoma"/>
            <family val="2"/>
          </rPr>
          <t xml:space="preserve">The United Nations Children's Fund </t>
        </r>
      </text>
    </comment>
    <comment ref="E7" authorId="0">
      <text>
        <r>
          <rPr>
            <b/>
            <sz val="8"/>
            <color indexed="81"/>
            <rFont val="Tahoma"/>
            <family val="2"/>
          </rPr>
          <t>Agency for Technical Cooperation and Development</t>
        </r>
      </text>
    </comment>
    <comment ref="C8" authorId="0">
      <text>
        <r>
          <rPr>
            <b/>
            <sz val="8"/>
            <color indexed="81"/>
            <rFont val="Tahoma"/>
            <family val="2"/>
          </rPr>
          <t>Agency for Technical Cooperation and Development</t>
        </r>
      </text>
    </comment>
    <comment ref="D8" authorId="0">
      <text>
        <r>
          <rPr>
            <b/>
            <sz val="8"/>
            <color indexed="81"/>
            <rFont val="Tahoma"/>
            <family val="2"/>
          </rPr>
          <t xml:space="preserve">The United Nations Children's Fund </t>
        </r>
      </text>
    </comment>
    <comment ref="E8" authorId="0">
      <text>
        <r>
          <rPr>
            <b/>
            <sz val="8"/>
            <color indexed="81"/>
            <rFont val="Tahoma"/>
            <family val="2"/>
          </rPr>
          <t>Agency for Technical Cooperation and Development</t>
        </r>
      </text>
    </comment>
    <comment ref="C9" authorId="0">
      <text>
        <r>
          <rPr>
            <b/>
            <sz val="8"/>
            <color indexed="81"/>
            <rFont val="Tahoma"/>
            <family val="2"/>
          </rPr>
          <t>Agency for Technical Cooperation and Development</t>
        </r>
      </text>
    </comment>
    <comment ref="D9" authorId="0">
      <text>
        <r>
          <rPr>
            <b/>
            <sz val="8"/>
            <color indexed="81"/>
            <rFont val="Tahoma"/>
            <family val="2"/>
          </rPr>
          <t xml:space="preserve">The United Nations Children's Fund </t>
        </r>
      </text>
    </comment>
    <comment ref="E9" authorId="0">
      <text>
        <r>
          <rPr>
            <b/>
            <sz val="8"/>
            <color indexed="81"/>
            <rFont val="Tahoma"/>
            <family val="2"/>
          </rPr>
          <t>Agency for Technical Cooperation and Development</t>
        </r>
      </text>
    </comment>
    <comment ref="C10" authorId="0">
      <text>
        <r>
          <rPr>
            <b/>
            <sz val="8"/>
            <color indexed="81"/>
            <rFont val="Tahoma"/>
            <family val="2"/>
          </rPr>
          <t xml:space="preserve">Agency for International Medical Action
</t>
        </r>
      </text>
    </comment>
    <comment ref="D10" authorId="0">
      <text>
        <r>
          <rPr>
            <b/>
            <sz val="8"/>
            <color indexed="81"/>
            <rFont val="Tahoma"/>
            <family val="2"/>
          </rPr>
          <t xml:space="preserve">The United Nations Children's Fund </t>
        </r>
      </text>
    </comment>
    <comment ref="E10" authorId="0">
      <text>
        <r>
          <rPr>
            <b/>
            <sz val="8"/>
            <color indexed="81"/>
            <rFont val="Tahoma"/>
            <family val="2"/>
          </rPr>
          <t xml:space="preserve">Agency for International Medical Action
</t>
        </r>
      </text>
    </comment>
    <comment ref="C11" authorId="0">
      <text>
        <r>
          <rPr>
            <b/>
            <sz val="8"/>
            <color indexed="81"/>
            <rFont val="Tahoma"/>
            <family val="2"/>
          </rPr>
          <t xml:space="preserve">Agency for International Medical Action
</t>
        </r>
      </text>
    </comment>
    <comment ref="D11" authorId="0">
      <text>
        <r>
          <rPr>
            <b/>
            <sz val="8"/>
            <color indexed="81"/>
            <rFont val="Tahoma"/>
            <family val="2"/>
          </rPr>
          <t xml:space="preserve">The United Nations Children's Fund </t>
        </r>
      </text>
    </comment>
    <comment ref="E11" authorId="0">
      <text>
        <r>
          <rPr>
            <b/>
            <sz val="8"/>
            <color indexed="81"/>
            <rFont val="Tahoma"/>
            <family val="2"/>
          </rPr>
          <t xml:space="preserve">Agency for International Medical Action
</t>
        </r>
      </text>
    </comment>
    <comment ref="C12" authorId="0">
      <text>
        <r>
          <rPr>
            <b/>
            <sz val="8"/>
            <color indexed="81"/>
            <rFont val="Tahoma"/>
            <family val="2"/>
          </rPr>
          <t>Agronomes et Vétérinaires Sans Frontières -</t>
        </r>
        <r>
          <rPr>
            <sz val="8"/>
            <color indexed="81"/>
            <rFont val="Tahoma"/>
            <family val="2"/>
          </rPr>
          <t>Association de solidarité internationale</t>
        </r>
      </text>
    </comment>
    <comment ref="D12" authorId="0">
      <text>
        <r>
          <rPr>
            <b/>
            <sz val="8"/>
            <color indexed="81"/>
            <rFont val="Tahoma"/>
            <family val="2"/>
          </rPr>
          <t xml:space="preserve">The United Nations Children's Fund </t>
        </r>
      </text>
    </comment>
    <comment ref="E12" authorId="0">
      <text>
        <r>
          <rPr>
            <b/>
            <sz val="8"/>
            <color indexed="81"/>
            <rFont val="Tahoma"/>
            <family val="2"/>
          </rPr>
          <t>Agronomes et Vétérinaires Sans Frontières -</t>
        </r>
        <r>
          <rPr>
            <sz val="8"/>
            <color indexed="81"/>
            <rFont val="Tahoma"/>
            <family val="2"/>
          </rPr>
          <t>Association de solidarité internationale</t>
        </r>
      </text>
    </comment>
    <comment ref="C13" authorId="0">
      <text>
        <r>
          <rPr>
            <b/>
            <sz val="8"/>
            <color indexed="81"/>
            <rFont val="Tahoma"/>
            <family val="2"/>
          </rPr>
          <t>Agronomes et Vétérinaires Sans Frontières -</t>
        </r>
        <r>
          <rPr>
            <sz val="8"/>
            <color indexed="81"/>
            <rFont val="Tahoma"/>
            <family val="2"/>
          </rPr>
          <t>Association de solidarité internationale</t>
        </r>
      </text>
    </comment>
    <comment ref="D13" authorId="0">
      <text>
        <r>
          <rPr>
            <b/>
            <sz val="8"/>
            <color indexed="81"/>
            <rFont val="Tahoma"/>
            <family val="2"/>
          </rPr>
          <t xml:space="preserve">The United Nations Children's Fund </t>
        </r>
      </text>
    </comment>
    <comment ref="E13" authorId="0">
      <text>
        <r>
          <rPr>
            <b/>
            <sz val="8"/>
            <color indexed="81"/>
            <rFont val="Tahoma"/>
            <family val="2"/>
          </rPr>
          <t>Agronomes et Vétérinaires Sans Frontières -</t>
        </r>
        <r>
          <rPr>
            <sz val="8"/>
            <color indexed="81"/>
            <rFont val="Tahoma"/>
            <family val="2"/>
          </rPr>
          <t>Association de solidarité internationale</t>
        </r>
      </text>
    </comment>
    <comment ref="C14" authorId="0">
      <text>
        <r>
          <rPr>
            <b/>
            <sz val="8"/>
            <color indexed="81"/>
            <rFont val="Tahoma"/>
            <family val="2"/>
          </rPr>
          <t>Agronomes et Vétérinaires Sans Frontières -</t>
        </r>
        <r>
          <rPr>
            <sz val="8"/>
            <color indexed="81"/>
            <rFont val="Tahoma"/>
            <family val="2"/>
          </rPr>
          <t>Association de solidarité internationale</t>
        </r>
      </text>
    </comment>
    <comment ref="D14" authorId="0">
      <text>
        <r>
          <rPr>
            <b/>
            <sz val="8"/>
            <color indexed="81"/>
            <rFont val="Tahoma"/>
            <family val="2"/>
          </rPr>
          <t xml:space="preserve">The United Nations Children's Fund </t>
        </r>
      </text>
    </comment>
    <comment ref="E14" authorId="0">
      <text>
        <r>
          <rPr>
            <b/>
            <sz val="8"/>
            <color indexed="81"/>
            <rFont val="Tahoma"/>
            <family val="2"/>
          </rPr>
          <t>Agronomes et Vétérinaires Sans Frontières -</t>
        </r>
        <r>
          <rPr>
            <sz val="8"/>
            <color indexed="81"/>
            <rFont val="Tahoma"/>
            <family val="2"/>
          </rPr>
          <t>Association de solidarité internationale</t>
        </r>
      </text>
    </comment>
    <comment ref="C15" authorId="0">
      <text>
        <r>
          <rPr>
            <b/>
            <sz val="8"/>
            <color indexed="81"/>
            <rFont val="Tahoma"/>
            <family val="2"/>
          </rPr>
          <t>Agronomes et Vétérinaires Sans Frontières -</t>
        </r>
        <r>
          <rPr>
            <sz val="8"/>
            <color indexed="81"/>
            <rFont val="Tahoma"/>
            <family val="2"/>
          </rPr>
          <t>Association de solidarité internationale</t>
        </r>
      </text>
    </comment>
    <comment ref="D15" authorId="0">
      <text>
        <r>
          <rPr>
            <b/>
            <sz val="8"/>
            <color indexed="81"/>
            <rFont val="Tahoma"/>
            <family val="2"/>
          </rPr>
          <t xml:space="preserve">The United Nations Children's Fund </t>
        </r>
      </text>
    </comment>
    <comment ref="E15" authorId="0">
      <text>
        <r>
          <rPr>
            <b/>
            <sz val="8"/>
            <color indexed="81"/>
            <rFont val="Tahoma"/>
            <family val="2"/>
          </rPr>
          <t>Agronomes et Vétérinaires Sans Frontières -</t>
        </r>
        <r>
          <rPr>
            <sz val="8"/>
            <color indexed="81"/>
            <rFont val="Tahoma"/>
            <family val="2"/>
          </rPr>
          <t>Association de solidarité internationale</t>
        </r>
      </text>
    </comment>
    <comment ref="C16" authorId="0">
      <text>
        <r>
          <rPr>
            <b/>
            <sz val="8"/>
            <color indexed="81"/>
            <rFont val="Tahoma"/>
            <family val="2"/>
          </rPr>
          <t>Agronomes et Vétérinaires Sans Frontières -</t>
        </r>
        <r>
          <rPr>
            <sz val="8"/>
            <color indexed="81"/>
            <rFont val="Tahoma"/>
            <family val="2"/>
          </rPr>
          <t>Association de solidarité internationale</t>
        </r>
      </text>
    </comment>
    <comment ref="D16" authorId="0">
      <text>
        <r>
          <rPr>
            <b/>
            <sz val="8"/>
            <color indexed="81"/>
            <rFont val="Tahoma"/>
            <family val="2"/>
          </rPr>
          <t xml:space="preserve">The United Nations Children's Fund </t>
        </r>
      </text>
    </comment>
    <comment ref="E16" authorId="0">
      <text>
        <r>
          <rPr>
            <b/>
            <sz val="8"/>
            <color indexed="81"/>
            <rFont val="Tahoma"/>
            <family val="2"/>
          </rPr>
          <t>Agronomes et Vétérinaires Sans Frontières -</t>
        </r>
        <r>
          <rPr>
            <sz val="8"/>
            <color indexed="81"/>
            <rFont val="Tahoma"/>
            <family val="2"/>
          </rPr>
          <t>Association de solidarité internationale</t>
        </r>
      </text>
    </comment>
    <comment ref="C17" authorId="0">
      <text>
        <r>
          <rPr>
            <b/>
            <sz val="8"/>
            <color indexed="81"/>
            <rFont val="Tahoma"/>
            <family val="2"/>
          </rPr>
          <t>Agronomes et Vétérinaires Sans Frontières -</t>
        </r>
        <r>
          <rPr>
            <sz val="8"/>
            <color indexed="81"/>
            <rFont val="Tahoma"/>
            <family val="2"/>
          </rPr>
          <t>Association de solidarité internationale</t>
        </r>
      </text>
    </comment>
    <comment ref="D17" authorId="0">
      <text>
        <r>
          <rPr>
            <b/>
            <sz val="8"/>
            <color indexed="81"/>
            <rFont val="Tahoma"/>
            <family val="2"/>
          </rPr>
          <t xml:space="preserve">The United Nations Children's Fund </t>
        </r>
      </text>
    </comment>
    <comment ref="E17" authorId="0">
      <text>
        <r>
          <rPr>
            <b/>
            <sz val="8"/>
            <color indexed="81"/>
            <rFont val="Tahoma"/>
            <family val="2"/>
          </rPr>
          <t>Agronomes et Vétérinaires Sans Frontières -</t>
        </r>
        <r>
          <rPr>
            <sz val="8"/>
            <color indexed="81"/>
            <rFont val="Tahoma"/>
            <family val="2"/>
          </rPr>
          <t>Association de solidarité internationale</t>
        </r>
      </text>
    </comment>
    <comment ref="D18" authorId="0">
      <text>
        <r>
          <rPr>
            <b/>
            <sz val="8"/>
            <color indexed="81"/>
            <rFont val="Tahoma"/>
            <family val="2"/>
          </rPr>
          <t xml:space="preserve">The United Nations Children's Fund </t>
        </r>
      </text>
    </comment>
    <comment ref="D19" authorId="0">
      <text>
        <r>
          <rPr>
            <b/>
            <sz val="8"/>
            <color indexed="81"/>
            <rFont val="Tahoma"/>
            <family val="2"/>
          </rPr>
          <t xml:space="preserve">The United Nations Children's Fund </t>
        </r>
      </text>
    </comment>
    <comment ref="D20" authorId="0">
      <text>
        <r>
          <rPr>
            <b/>
            <sz val="8"/>
            <color indexed="81"/>
            <rFont val="Tahoma"/>
            <family val="2"/>
          </rPr>
          <t xml:space="preserve">The United Nations Children's Fund </t>
        </r>
      </text>
    </comment>
    <comment ref="D21" authorId="0">
      <text>
        <r>
          <rPr>
            <b/>
            <sz val="8"/>
            <color indexed="81"/>
            <rFont val="Tahoma"/>
            <family val="2"/>
          </rPr>
          <t xml:space="preserve">The United Nations Children's Fund </t>
        </r>
      </text>
    </comment>
    <comment ref="D22" authorId="0">
      <text>
        <r>
          <rPr>
            <b/>
            <sz val="8"/>
            <color indexed="81"/>
            <rFont val="Tahoma"/>
            <family val="2"/>
          </rPr>
          <t xml:space="preserve">The United Nations Children's Fund </t>
        </r>
      </text>
    </comment>
    <comment ref="D23" authorId="0">
      <text>
        <r>
          <rPr>
            <b/>
            <sz val="8"/>
            <color indexed="81"/>
            <rFont val="Tahoma"/>
            <family val="2"/>
          </rPr>
          <t>Agronomes et Vétérinaires Sans Frontières -</t>
        </r>
        <r>
          <rPr>
            <sz val="8"/>
            <color indexed="81"/>
            <rFont val="Tahoma"/>
            <family val="2"/>
          </rPr>
          <t>Association de solidarité internationale</t>
        </r>
      </text>
    </comment>
    <comment ref="D24" authorId="0">
      <text>
        <r>
          <rPr>
            <b/>
            <sz val="8"/>
            <color indexed="81"/>
            <rFont val="Tahoma"/>
            <family val="2"/>
          </rPr>
          <t>Le Comité international de la Croix-Rouge</t>
        </r>
      </text>
    </comment>
    <comment ref="D27" authorId="0">
      <text>
        <r>
          <rPr>
            <b/>
            <sz val="8"/>
            <color indexed="81"/>
            <rFont val="Tahoma"/>
            <family val="2"/>
          </rPr>
          <t>The United States Agency for International Development</t>
        </r>
      </text>
    </comment>
    <comment ref="D28" authorId="0">
      <text>
        <r>
          <rPr>
            <b/>
            <sz val="8"/>
            <color indexed="81"/>
            <rFont val="Tahoma"/>
            <family val="2"/>
          </rPr>
          <t>The United States Agency for International Development</t>
        </r>
      </text>
    </comment>
    <comment ref="C30" authorId="0">
      <text>
        <r>
          <rPr>
            <b/>
            <sz val="8"/>
            <color indexed="81"/>
            <rFont val="Tahoma"/>
            <family val="2"/>
          </rPr>
          <t>Catholic Relief Services</t>
        </r>
      </text>
    </comment>
    <comment ref="E30" authorId="0">
      <text>
        <r>
          <rPr>
            <b/>
            <sz val="8"/>
            <color indexed="81"/>
            <rFont val="Tahoma"/>
            <family val="2"/>
          </rPr>
          <t>Catholic Relief Services</t>
        </r>
      </text>
    </comment>
    <comment ref="C31" authorId="0">
      <text>
        <r>
          <rPr>
            <b/>
            <sz val="8"/>
            <color indexed="81"/>
            <rFont val="Tahoma"/>
            <family val="2"/>
          </rPr>
          <t>Catholic Relief Services</t>
        </r>
      </text>
    </comment>
    <comment ref="E31" authorId="0">
      <text>
        <r>
          <rPr>
            <b/>
            <sz val="8"/>
            <color indexed="81"/>
            <rFont val="Tahoma"/>
            <family val="2"/>
          </rPr>
          <t>Catholic Relief Services</t>
        </r>
      </text>
    </comment>
    <comment ref="C32" authorId="0">
      <text>
        <r>
          <rPr>
            <b/>
            <sz val="8"/>
            <color indexed="81"/>
            <rFont val="Tahoma"/>
            <family val="2"/>
          </rPr>
          <t>Catholic Relief Services</t>
        </r>
      </text>
    </comment>
    <comment ref="E32" authorId="0">
      <text>
        <r>
          <rPr>
            <b/>
            <sz val="8"/>
            <color indexed="81"/>
            <rFont val="Tahoma"/>
            <family val="2"/>
          </rPr>
          <t>Catholic Relief Services</t>
        </r>
      </text>
    </comment>
    <comment ref="C33" authorId="0">
      <text>
        <r>
          <rPr>
            <b/>
            <sz val="8"/>
            <color indexed="81"/>
            <rFont val="Tahoma"/>
            <family val="2"/>
          </rPr>
          <t>Catholic Relief Services</t>
        </r>
      </text>
    </comment>
    <comment ref="D33" authorId="0">
      <text>
        <r>
          <rPr>
            <b/>
            <sz val="8"/>
            <color indexed="81"/>
            <rFont val="Tahoma"/>
            <family val="2"/>
          </rPr>
          <t>The United States Agency for International Development</t>
        </r>
      </text>
    </comment>
    <comment ref="E33" authorId="0">
      <text>
        <r>
          <rPr>
            <b/>
            <sz val="8"/>
            <color indexed="81"/>
            <rFont val="Tahoma"/>
            <family val="2"/>
          </rPr>
          <t>Catholic Relief Services</t>
        </r>
      </text>
    </comment>
    <comment ref="C34" authorId="0">
      <text>
        <r>
          <rPr>
            <b/>
            <sz val="8"/>
            <color indexed="81"/>
            <rFont val="Tahoma"/>
            <family val="2"/>
          </rPr>
          <t>Catholic Relief Services</t>
        </r>
      </text>
    </comment>
    <comment ref="D34" authorId="0">
      <text>
        <r>
          <rPr>
            <b/>
            <sz val="8"/>
            <color indexed="81"/>
            <rFont val="Tahoma"/>
            <family val="2"/>
          </rPr>
          <t>The United States Agency for International Development</t>
        </r>
      </text>
    </comment>
    <comment ref="E34" authorId="0">
      <text>
        <r>
          <rPr>
            <b/>
            <sz val="8"/>
            <color indexed="81"/>
            <rFont val="Tahoma"/>
            <family val="2"/>
          </rPr>
          <t>Catholic Relief Services</t>
        </r>
      </text>
    </comment>
    <comment ref="C35" authorId="0">
      <text>
        <r>
          <rPr>
            <b/>
            <sz val="8"/>
            <color indexed="81"/>
            <rFont val="Tahoma"/>
            <family val="2"/>
          </rPr>
          <t>Catholic Relief Services</t>
        </r>
      </text>
    </comment>
    <comment ref="D35" authorId="0">
      <text>
        <r>
          <rPr>
            <b/>
            <sz val="8"/>
            <color indexed="81"/>
            <rFont val="Tahoma"/>
            <family val="2"/>
          </rPr>
          <t>The United States Agency for International Development</t>
        </r>
      </text>
    </comment>
    <comment ref="E35" authorId="0">
      <text>
        <r>
          <rPr>
            <b/>
            <sz val="8"/>
            <color indexed="81"/>
            <rFont val="Tahoma"/>
            <family val="2"/>
          </rPr>
          <t>Catholic Relief Services</t>
        </r>
      </text>
    </comment>
    <comment ref="C36" authorId="0">
      <text>
        <r>
          <rPr>
            <b/>
            <sz val="8"/>
            <color indexed="81"/>
            <rFont val="Tahoma"/>
            <family val="2"/>
          </rPr>
          <t>Catholic Relief Services</t>
        </r>
      </text>
    </comment>
    <comment ref="D36" authorId="0">
      <text>
        <r>
          <rPr>
            <b/>
            <sz val="8"/>
            <color indexed="81"/>
            <rFont val="Tahoma"/>
            <family val="2"/>
          </rPr>
          <t>The United States Agency for International Development</t>
        </r>
      </text>
    </comment>
    <comment ref="E36" authorId="0">
      <text>
        <r>
          <rPr>
            <b/>
            <sz val="8"/>
            <color indexed="81"/>
            <rFont val="Tahoma"/>
            <family val="2"/>
          </rPr>
          <t>Catholic Relief Services</t>
        </r>
      </text>
    </comment>
    <comment ref="C37" authorId="0">
      <text>
        <r>
          <rPr>
            <b/>
            <sz val="8"/>
            <color indexed="81"/>
            <rFont val="Tahoma"/>
            <family val="2"/>
          </rPr>
          <t>Catholic Relief Services</t>
        </r>
      </text>
    </comment>
    <comment ref="D37" authorId="0">
      <text>
        <r>
          <rPr>
            <b/>
            <sz val="8"/>
            <color indexed="81"/>
            <rFont val="Tahoma"/>
            <family val="2"/>
          </rPr>
          <t>The United States Agency for International Development</t>
        </r>
      </text>
    </comment>
    <comment ref="E37" authorId="0">
      <text>
        <r>
          <rPr>
            <b/>
            <sz val="8"/>
            <color indexed="81"/>
            <rFont val="Tahoma"/>
            <family val="2"/>
          </rPr>
          <t>Catholic Relief Services</t>
        </r>
      </text>
    </comment>
    <comment ref="C38" authorId="0">
      <text>
        <r>
          <rPr>
            <b/>
            <sz val="8"/>
            <color indexed="81"/>
            <rFont val="Tahoma"/>
            <family val="2"/>
          </rPr>
          <t>Catholic Relief Services</t>
        </r>
      </text>
    </comment>
    <comment ref="D38" authorId="0">
      <text>
        <r>
          <rPr>
            <b/>
            <sz val="8"/>
            <color indexed="81"/>
            <rFont val="Tahoma"/>
            <family val="2"/>
          </rPr>
          <t>The United States Agency for International Development</t>
        </r>
      </text>
    </comment>
    <comment ref="E38" authorId="0">
      <text>
        <r>
          <rPr>
            <b/>
            <sz val="8"/>
            <color indexed="81"/>
            <rFont val="Tahoma"/>
            <family val="2"/>
          </rPr>
          <t>Catholic Relief Services</t>
        </r>
      </text>
    </comment>
    <comment ref="C39" authorId="0">
      <text>
        <r>
          <rPr>
            <b/>
            <sz val="8"/>
            <color indexed="81"/>
            <rFont val="Tahoma"/>
            <family val="2"/>
          </rPr>
          <t>Catholic Relief Services</t>
        </r>
      </text>
    </comment>
    <comment ref="D39" authorId="0">
      <text>
        <r>
          <rPr>
            <b/>
            <sz val="8"/>
            <color indexed="81"/>
            <rFont val="Tahoma"/>
            <family val="2"/>
          </rPr>
          <t>The United States Agency for International Development</t>
        </r>
      </text>
    </comment>
    <comment ref="E39" authorId="0">
      <text>
        <r>
          <rPr>
            <b/>
            <sz val="8"/>
            <color indexed="81"/>
            <rFont val="Tahoma"/>
            <family val="2"/>
          </rPr>
          <t>Catholic Relief Services</t>
        </r>
      </text>
    </comment>
    <comment ref="C40" authorId="0">
      <text>
        <r>
          <rPr>
            <b/>
            <sz val="8"/>
            <color indexed="81"/>
            <rFont val="Tahoma"/>
            <family val="2"/>
          </rPr>
          <t>Catholic Relief Services</t>
        </r>
      </text>
    </comment>
    <comment ref="D40" authorId="0">
      <text>
        <r>
          <rPr>
            <b/>
            <sz val="8"/>
            <color indexed="81"/>
            <rFont val="Tahoma"/>
            <family val="2"/>
          </rPr>
          <t>The United States Agency for International Development</t>
        </r>
      </text>
    </comment>
    <comment ref="E40" authorId="0">
      <text>
        <r>
          <rPr>
            <b/>
            <sz val="8"/>
            <color indexed="81"/>
            <rFont val="Tahoma"/>
            <family val="2"/>
          </rPr>
          <t>Catholic Relief Services</t>
        </r>
      </text>
    </comment>
    <comment ref="C41" authorId="0">
      <text>
        <r>
          <rPr>
            <b/>
            <sz val="8"/>
            <color indexed="81"/>
            <rFont val="Tahoma"/>
            <family val="2"/>
          </rPr>
          <t>Catholic Relief Services</t>
        </r>
      </text>
    </comment>
    <comment ref="D41" authorId="0">
      <text>
        <r>
          <rPr>
            <b/>
            <sz val="8"/>
            <color indexed="81"/>
            <rFont val="Tahoma"/>
            <family val="2"/>
          </rPr>
          <t>The United States Agency for International Development</t>
        </r>
      </text>
    </comment>
    <comment ref="E41" authorId="0">
      <text>
        <r>
          <rPr>
            <b/>
            <sz val="8"/>
            <color indexed="81"/>
            <rFont val="Tahoma"/>
            <family val="2"/>
          </rPr>
          <t>Catholic Relief Services</t>
        </r>
      </text>
    </comment>
    <comment ref="C42" authorId="0">
      <text>
        <r>
          <rPr>
            <b/>
            <sz val="8"/>
            <color indexed="81"/>
            <rFont val="Tahoma"/>
            <family val="2"/>
          </rPr>
          <t>Catholic Relief Services</t>
        </r>
      </text>
    </comment>
    <comment ref="D42" authorId="0">
      <text>
        <r>
          <rPr>
            <b/>
            <sz val="8"/>
            <color indexed="81"/>
            <rFont val="Tahoma"/>
            <family val="2"/>
          </rPr>
          <t>The United States Agency for International Development</t>
        </r>
      </text>
    </comment>
    <comment ref="E42" authorId="0">
      <text>
        <r>
          <rPr>
            <b/>
            <sz val="8"/>
            <color indexed="81"/>
            <rFont val="Tahoma"/>
            <family val="2"/>
          </rPr>
          <t>Catholic Relief Services</t>
        </r>
      </text>
    </comment>
    <comment ref="C43" authorId="0">
      <text>
        <r>
          <rPr>
            <b/>
            <sz val="8"/>
            <color indexed="81"/>
            <rFont val="Tahoma"/>
            <family val="2"/>
          </rPr>
          <t>Catholic Relief Services</t>
        </r>
      </text>
    </comment>
    <comment ref="D43" authorId="0">
      <text>
        <r>
          <rPr>
            <b/>
            <sz val="8"/>
            <color indexed="81"/>
            <rFont val="Tahoma"/>
            <family val="2"/>
          </rPr>
          <t>The United States Agency for International Development</t>
        </r>
      </text>
    </comment>
    <comment ref="E43" authorId="0">
      <text>
        <r>
          <rPr>
            <b/>
            <sz val="8"/>
            <color indexed="81"/>
            <rFont val="Tahoma"/>
            <family val="2"/>
          </rPr>
          <t>Catholic Relief Services</t>
        </r>
      </text>
    </comment>
    <comment ref="C44" authorId="0">
      <text>
        <r>
          <rPr>
            <b/>
            <sz val="8"/>
            <color indexed="81"/>
            <rFont val="Tahoma"/>
            <family val="2"/>
          </rPr>
          <t>Catholic Relief Services</t>
        </r>
      </text>
    </comment>
    <comment ref="D44" authorId="0">
      <text>
        <r>
          <rPr>
            <b/>
            <sz val="8"/>
            <color indexed="81"/>
            <rFont val="Tahoma"/>
            <family val="2"/>
          </rPr>
          <t>The United States Agency for International Development</t>
        </r>
      </text>
    </comment>
    <comment ref="E44" authorId="0">
      <text>
        <r>
          <rPr>
            <b/>
            <sz val="8"/>
            <color indexed="81"/>
            <rFont val="Tahoma"/>
            <family val="2"/>
          </rPr>
          <t>Catholic Relief Services</t>
        </r>
      </text>
    </comment>
    <comment ref="C45" authorId="0">
      <text>
        <r>
          <rPr>
            <b/>
            <sz val="8"/>
            <color indexed="81"/>
            <rFont val="Tahoma"/>
            <family val="2"/>
          </rPr>
          <t>La Direction Générale de La Protection Civile</t>
        </r>
      </text>
    </comment>
    <comment ref="E45" authorId="0">
      <text>
        <r>
          <rPr>
            <b/>
            <sz val="8"/>
            <color indexed="81"/>
            <rFont val="Tahoma"/>
            <family val="2"/>
          </rPr>
          <t>La Direction Générale de La Protection Civile</t>
        </r>
      </text>
    </comment>
    <comment ref="C46" authorId="0">
      <text>
        <r>
          <rPr>
            <b/>
            <sz val="8"/>
            <color indexed="81"/>
            <rFont val="Tahoma"/>
            <family val="2"/>
          </rPr>
          <t>La Direction Générale de La Protection Civile</t>
        </r>
      </text>
    </comment>
    <comment ref="E46" authorId="0">
      <text>
        <r>
          <rPr>
            <b/>
            <sz val="8"/>
            <color indexed="81"/>
            <rFont val="Tahoma"/>
            <family val="2"/>
          </rPr>
          <t>La Direction Générale de La Protection Civile</t>
        </r>
      </text>
    </comment>
    <comment ref="C47" authorId="0">
      <text>
        <r>
          <rPr>
            <b/>
            <sz val="8"/>
            <color indexed="81"/>
            <rFont val="Tahoma"/>
            <family val="2"/>
          </rPr>
          <t>La Direction Générale de La Protection Civile</t>
        </r>
      </text>
    </comment>
    <comment ref="D47" authorId="0">
      <text>
        <r>
          <rPr>
            <b/>
            <sz val="8"/>
            <color indexed="81"/>
            <rFont val="Tahoma"/>
            <family val="2"/>
          </rPr>
          <t xml:space="preserve">The United Nations Children's Fund </t>
        </r>
      </text>
    </comment>
    <comment ref="E47" authorId="0">
      <text>
        <r>
          <rPr>
            <b/>
            <sz val="8"/>
            <color indexed="81"/>
            <rFont val="Tahoma"/>
            <family val="2"/>
          </rPr>
          <t>La Direction Générale de La Protection Civile</t>
        </r>
      </text>
    </comment>
    <comment ref="C48" authorId="0">
      <text>
        <r>
          <rPr>
            <b/>
            <sz val="8"/>
            <color indexed="81"/>
            <rFont val="Tahoma"/>
            <family val="2"/>
          </rPr>
          <t>La Direction Générale de La Protection Civile</t>
        </r>
      </text>
    </comment>
    <comment ref="D48" authorId="0">
      <text>
        <r>
          <rPr>
            <b/>
            <sz val="8"/>
            <color indexed="81"/>
            <rFont val="Tahoma"/>
            <family val="2"/>
          </rPr>
          <t xml:space="preserve">The United Nations Children's Fund </t>
        </r>
      </text>
    </comment>
    <comment ref="E48" authorId="0">
      <text>
        <r>
          <rPr>
            <b/>
            <sz val="8"/>
            <color indexed="81"/>
            <rFont val="Tahoma"/>
            <family val="2"/>
          </rPr>
          <t>La Direction Générale de La Protection Civile</t>
        </r>
      </text>
    </comment>
    <comment ref="C49" authorId="0">
      <text>
        <r>
          <rPr>
            <b/>
            <sz val="8"/>
            <color indexed="81"/>
            <rFont val="Tahoma"/>
            <family val="2"/>
          </rPr>
          <t>La Direction Générale de La Protection Civile</t>
        </r>
      </text>
    </comment>
    <comment ref="D49" authorId="0">
      <text>
        <r>
          <rPr>
            <b/>
            <sz val="8"/>
            <color indexed="81"/>
            <rFont val="Tahoma"/>
            <family val="2"/>
          </rPr>
          <t xml:space="preserve">The United Nations Children's Fund </t>
        </r>
      </text>
    </comment>
    <comment ref="E49" authorId="0">
      <text>
        <r>
          <rPr>
            <b/>
            <sz val="8"/>
            <color indexed="81"/>
            <rFont val="Tahoma"/>
            <family val="2"/>
          </rPr>
          <t>La Direction Générale de La Protection Civile</t>
        </r>
      </text>
    </comment>
    <comment ref="C50" authorId="0">
      <text>
        <r>
          <rPr>
            <b/>
            <sz val="8"/>
            <color indexed="81"/>
            <rFont val="Tahoma"/>
            <family val="2"/>
          </rPr>
          <t>La Direction Générale de La Protection Civile</t>
        </r>
      </text>
    </comment>
    <comment ref="D50" authorId="0">
      <text>
        <r>
          <rPr>
            <b/>
            <sz val="8"/>
            <color indexed="81"/>
            <rFont val="Tahoma"/>
            <family val="2"/>
          </rPr>
          <t xml:space="preserve">The United Nations Children's Fund </t>
        </r>
      </text>
    </comment>
    <comment ref="E50" authorId="0">
      <text>
        <r>
          <rPr>
            <b/>
            <sz val="8"/>
            <color indexed="81"/>
            <rFont val="Tahoma"/>
            <family val="2"/>
          </rPr>
          <t>La Direction Générale de La Protection Civile</t>
        </r>
      </text>
    </comment>
    <comment ref="C51" authorId="0">
      <text>
        <r>
          <rPr>
            <b/>
            <sz val="8"/>
            <color indexed="81"/>
            <rFont val="Tahoma"/>
            <family val="2"/>
          </rPr>
          <t>La Direction Générale de La Protection Civile</t>
        </r>
      </text>
    </comment>
    <comment ref="D51" authorId="0">
      <text>
        <r>
          <rPr>
            <b/>
            <sz val="8"/>
            <color indexed="81"/>
            <rFont val="Tahoma"/>
            <family val="2"/>
          </rPr>
          <t xml:space="preserve">The United Nations Children's Fund </t>
        </r>
      </text>
    </comment>
    <comment ref="E51" authorId="0">
      <text>
        <r>
          <rPr>
            <b/>
            <sz val="8"/>
            <color indexed="81"/>
            <rFont val="Tahoma"/>
            <family val="2"/>
          </rPr>
          <t>La Direction Générale de La Protection Civile</t>
        </r>
      </text>
    </comment>
    <comment ref="C52" authorId="0">
      <text>
        <r>
          <rPr>
            <b/>
            <sz val="8"/>
            <color indexed="81"/>
            <rFont val="Tahoma"/>
            <family val="2"/>
          </rPr>
          <t>La Direction Générale de La Protection Civile</t>
        </r>
      </text>
    </comment>
    <comment ref="D52" authorId="0">
      <text>
        <r>
          <rPr>
            <b/>
            <sz val="8"/>
            <color indexed="81"/>
            <rFont val="Tahoma"/>
            <family val="2"/>
          </rPr>
          <t xml:space="preserve">The United Nations Children's Fund </t>
        </r>
      </text>
    </comment>
    <comment ref="E52" authorId="0">
      <text>
        <r>
          <rPr>
            <b/>
            <sz val="8"/>
            <color indexed="81"/>
            <rFont val="Tahoma"/>
            <family val="2"/>
          </rPr>
          <t>La Direction Générale de La Protection Civile</t>
        </r>
      </text>
    </comment>
    <comment ref="C53" authorId="0">
      <text>
        <r>
          <rPr>
            <b/>
            <sz val="8"/>
            <color indexed="81"/>
            <rFont val="Tahoma"/>
            <family val="2"/>
          </rPr>
          <t>La Direction Générale de La Protection Civile</t>
        </r>
      </text>
    </comment>
    <comment ref="D53" authorId="0">
      <text>
        <r>
          <rPr>
            <b/>
            <sz val="8"/>
            <color indexed="81"/>
            <rFont val="Tahoma"/>
            <family val="2"/>
          </rPr>
          <t xml:space="preserve">The United Nations Children's Fund </t>
        </r>
      </text>
    </comment>
    <comment ref="E53" authorId="0">
      <text>
        <r>
          <rPr>
            <b/>
            <sz val="8"/>
            <color indexed="81"/>
            <rFont val="Tahoma"/>
            <family val="2"/>
          </rPr>
          <t>La Direction Générale de La Protection Civile</t>
        </r>
      </text>
    </comment>
    <comment ref="C54" authorId="0">
      <text>
        <r>
          <rPr>
            <b/>
            <sz val="8"/>
            <color indexed="81"/>
            <rFont val="Tahoma"/>
            <family val="2"/>
          </rPr>
          <t>La Direction Générale de La Protection Civile</t>
        </r>
      </text>
    </comment>
    <comment ref="D54" authorId="0">
      <text>
        <r>
          <rPr>
            <b/>
            <sz val="8"/>
            <color indexed="81"/>
            <rFont val="Tahoma"/>
            <family val="2"/>
          </rPr>
          <t xml:space="preserve">The United Nations Children's Fund </t>
        </r>
      </text>
    </comment>
    <comment ref="E54" authorId="0">
      <text>
        <r>
          <rPr>
            <b/>
            <sz val="8"/>
            <color indexed="81"/>
            <rFont val="Tahoma"/>
            <family val="2"/>
          </rPr>
          <t>La Direction Générale de La Protection Civile</t>
        </r>
      </text>
    </comment>
    <comment ref="C55" authorId="0">
      <text>
        <r>
          <rPr>
            <b/>
            <sz val="8"/>
            <color indexed="81"/>
            <rFont val="Tahoma"/>
            <family val="2"/>
          </rPr>
          <t>La Direction Générale de La Protection Civile</t>
        </r>
      </text>
    </comment>
    <comment ref="D55" authorId="0">
      <text>
        <r>
          <rPr>
            <b/>
            <sz val="8"/>
            <color indexed="81"/>
            <rFont val="Tahoma"/>
            <family val="2"/>
          </rPr>
          <t xml:space="preserve">The United Nations Children's Fund </t>
        </r>
      </text>
    </comment>
    <comment ref="E55" authorId="0">
      <text>
        <r>
          <rPr>
            <b/>
            <sz val="8"/>
            <color indexed="81"/>
            <rFont val="Tahoma"/>
            <family val="2"/>
          </rPr>
          <t>La Direction Générale de La Protection Civile</t>
        </r>
      </text>
    </comment>
    <comment ref="C56" authorId="0">
      <text>
        <r>
          <rPr>
            <b/>
            <sz val="8"/>
            <color indexed="81"/>
            <rFont val="Tahoma"/>
            <family val="2"/>
          </rPr>
          <t>La Direction Générale de La Protection Civile</t>
        </r>
      </text>
    </comment>
    <comment ref="D56" authorId="0">
      <text>
        <r>
          <rPr>
            <b/>
            <sz val="8"/>
            <color indexed="81"/>
            <rFont val="Tahoma"/>
            <family val="2"/>
          </rPr>
          <t xml:space="preserve">The United Nations Children's Fund </t>
        </r>
      </text>
    </comment>
    <comment ref="E56" authorId="0">
      <text>
        <r>
          <rPr>
            <b/>
            <sz val="8"/>
            <color indexed="81"/>
            <rFont val="Tahoma"/>
            <family val="2"/>
          </rPr>
          <t>La Direction Générale de La Protection Civile</t>
        </r>
      </text>
    </comment>
    <comment ref="C57" authorId="0">
      <text>
        <r>
          <rPr>
            <b/>
            <sz val="8"/>
            <color indexed="81"/>
            <rFont val="Tahoma"/>
            <family val="2"/>
          </rPr>
          <t>La Direction Générale de La Protection Civile</t>
        </r>
      </text>
    </comment>
    <comment ref="D57" authorId="0">
      <text>
        <r>
          <rPr>
            <b/>
            <sz val="8"/>
            <color indexed="81"/>
            <rFont val="Tahoma"/>
            <family val="2"/>
          </rPr>
          <t xml:space="preserve">The United Nations Children's Fund </t>
        </r>
      </text>
    </comment>
    <comment ref="E57" authorId="0">
      <text>
        <r>
          <rPr>
            <b/>
            <sz val="8"/>
            <color indexed="81"/>
            <rFont val="Tahoma"/>
            <family val="2"/>
          </rPr>
          <t>La Direction Générale de La Protection Civile</t>
        </r>
      </text>
    </comment>
    <comment ref="C58" authorId="0">
      <text>
        <r>
          <rPr>
            <b/>
            <sz val="8"/>
            <color indexed="81"/>
            <rFont val="Tahoma"/>
            <family val="2"/>
          </rPr>
          <t>La Direction Générale de La Protection Civile</t>
        </r>
      </text>
    </comment>
    <comment ref="D58" authorId="0">
      <text>
        <r>
          <rPr>
            <b/>
            <sz val="8"/>
            <color indexed="81"/>
            <rFont val="Tahoma"/>
            <family val="2"/>
          </rPr>
          <t xml:space="preserve">The United Nations Children's Fund </t>
        </r>
      </text>
    </comment>
    <comment ref="E58" authorId="0">
      <text>
        <r>
          <rPr>
            <b/>
            <sz val="8"/>
            <color indexed="81"/>
            <rFont val="Tahoma"/>
            <family val="2"/>
          </rPr>
          <t>La Direction Générale de La Protection Civile</t>
        </r>
      </text>
    </comment>
    <comment ref="C59" authorId="0">
      <text>
        <r>
          <rPr>
            <b/>
            <sz val="8"/>
            <color indexed="81"/>
            <rFont val="Tahoma"/>
            <family val="2"/>
          </rPr>
          <t>La Direction Générale de La Protection Civile</t>
        </r>
      </text>
    </comment>
    <comment ref="D59" authorId="0">
      <text>
        <r>
          <rPr>
            <b/>
            <sz val="8"/>
            <color indexed="81"/>
            <rFont val="Tahoma"/>
            <family val="2"/>
          </rPr>
          <t xml:space="preserve">The United Nations Children's Fund </t>
        </r>
      </text>
    </comment>
    <comment ref="E59" authorId="0">
      <text>
        <r>
          <rPr>
            <b/>
            <sz val="8"/>
            <color indexed="81"/>
            <rFont val="Tahoma"/>
            <family val="2"/>
          </rPr>
          <t>La Direction Générale de La Protection Civile</t>
        </r>
      </text>
    </comment>
    <comment ref="C60" authorId="0">
      <text>
        <r>
          <rPr>
            <b/>
            <sz val="8"/>
            <color indexed="81"/>
            <rFont val="Tahoma"/>
            <family val="2"/>
          </rPr>
          <t>La Direction Générale de La Protection Civile</t>
        </r>
      </text>
    </comment>
    <comment ref="D60" authorId="0">
      <text>
        <r>
          <rPr>
            <b/>
            <sz val="8"/>
            <color indexed="81"/>
            <rFont val="Tahoma"/>
            <family val="2"/>
          </rPr>
          <t xml:space="preserve">The United Nations Children's Fund </t>
        </r>
      </text>
    </comment>
    <comment ref="E60" authorId="0">
      <text>
        <r>
          <rPr>
            <b/>
            <sz val="8"/>
            <color indexed="81"/>
            <rFont val="Tahoma"/>
            <family val="2"/>
          </rPr>
          <t>La Direction Générale de La Protection Civile</t>
        </r>
      </text>
    </comment>
    <comment ref="C61" authorId="0">
      <text>
        <r>
          <rPr>
            <b/>
            <sz val="8"/>
            <color indexed="81"/>
            <rFont val="Tahoma"/>
            <family val="2"/>
          </rPr>
          <t>La Direction Générale de La Protection Civile</t>
        </r>
      </text>
    </comment>
    <comment ref="D61" authorId="0">
      <text>
        <r>
          <rPr>
            <b/>
            <sz val="8"/>
            <color indexed="81"/>
            <rFont val="Tahoma"/>
            <family val="2"/>
          </rPr>
          <t xml:space="preserve">The United Nations Children's Fund </t>
        </r>
      </text>
    </comment>
    <comment ref="E61" authorId="0">
      <text>
        <r>
          <rPr>
            <b/>
            <sz val="8"/>
            <color indexed="81"/>
            <rFont val="Tahoma"/>
            <family val="2"/>
          </rPr>
          <t>La Direction Générale de La Protection Civile</t>
        </r>
      </text>
    </comment>
    <comment ref="C62" authorId="0">
      <text>
        <r>
          <rPr>
            <b/>
            <sz val="8"/>
            <color indexed="81"/>
            <rFont val="Tahoma"/>
            <family val="2"/>
          </rPr>
          <t xml:space="preserve">International Organization for Migration
</t>
        </r>
      </text>
    </comment>
    <comment ref="D62" authorId="0">
      <text>
        <r>
          <rPr>
            <b/>
            <sz val="8"/>
            <color indexed="81"/>
            <rFont val="Tahoma"/>
            <family val="2"/>
          </rPr>
          <t xml:space="preserve">International Organization for Migration
</t>
        </r>
      </text>
    </comment>
    <comment ref="E62" authorId="0">
      <text>
        <r>
          <rPr>
            <b/>
            <sz val="8"/>
            <color indexed="81"/>
            <rFont val="Tahoma"/>
            <family val="2"/>
          </rPr>
          <t xml:space="preserve">International Organization for Migration
</t>
        </r>
      </text>
    </comment>
    <comment ref="C63" authorId="0">
      <text>
        <r>
          <rPr>
            <b/>
            <sz val="8"/>
            <color indexed="81"/>
            <rFont val="Tahoma"/>
            <family val="2"/>
          </rPr>
          <t xml:space="preserve">The International Rescue Committee </t>
        </r>
      </text>
    </comment>
    <comment ref="D63" authorId="0">
      <text>
        <r>
          <rPr>
            <b/>
            <sz val="8"/>
            <color indexed="81"/>
            <rFont val="Tahoma"/>
            <family val="2"/>
          </rPr>
          <t xml:space="preserve">The United Nations Children's Fund </t>
        </r>
      </text>
    </comment>
    <comment ref="E63" authorId="0">
      <text>
        <r>
          <rPr>
            <b/>
            <sz val="8"/>
            <color indexed="81"/>
            <rFont val="Tahoma"/>
            <family val="2"/>
          </rPr>
          <t xml:space="preserve">The International Rescue Committee </t>
        </r>
      </text>
    </comment>
    <comment ref="C64" authorId="0">
      <text>
        <r>
          <rPr>
            <b/>
            <sz val="8"/>
            <color indexed="81"/>
            <rFont val="Tahoma"/>
            <family val="2"/>
          </rPr>
          <t>Médecin du Monde Belgique</t>
        </r>
      </text>
    </comment>
    <comment ref="D64" authorId="0">
      <text>
        <r>
          <rPr>
            <b/>
            <sz val="8"/>
            <color indexed="81"/>
            <rFont val="Tahoma"/>
            <family val="2"/>
          </rPr>
          <t xml:space="preserve">The United Nations Children's Fund </t>
        </r>
      </text>
    </comment>
    <comment ref="C65" authorId="0">
      <text>
        <r>
          <rPr>
            <b/>
            <sz val="8"/>
            <color indexed="81"/>
            <rFont val="Tahoma"/>
            <family val="2"/>
          </rPr>
          <t>Médecin du Monde Belgique</t>
        </r>
      </text>
    </comment>
    <comment ref="D65" authorId="0">
      <text>
        <r>
          <rPr>
            <b/>
            <sz val="8"/>
            <color indexed="81"/>
            <rFont val="Tahoma"/>
            <family val="2"/>
          </rPr>
          <t xml:space="preserve">The United Nations Children's Fund </t>
        </r>
      </text>
    </comment>
    <comment ref="C66" authorId="0">
      <text>
        <r>
          <rPr>
            <b/>
            <sz val="8"/>
            <color indexed="81"/>
            <rFont val="Tahoma"/>
            <family val="2"/>
          </rPr>
          <t>Médecin du Monde France</t>
        </r>
      </text>
    </comment>
    <comment ref="D66" authorId="0">
      <text>
        <r>
          <rPr>
            <b/>
            <sz val="8"/>
            <color indexed="81"/>
            <rFont val="Tahoma"/>
            <family val="2"/>
          </rPr>
          <t xml:space="preserve">The United Nations Children's Fund </t>
        </r>
      </text>
    </comment>
    <comment ref="C67" authorId="0">
      <text>
        <r>
          <rPr>
            <b/>
            <sz val="8"/>
            <color indexed="81"/>
            <rFont val="Tahoma"/>
            <family val="2"/>
          </rPr>
          <t>Médecin du Monde France</t>
        </r>
      </text>
    </comment>
    <comment ref="D67" authorId="0">
      <text>
        <r>
          <rPr>
            <b/>
            <sz val="8"/>
            <color indexed="81"/>
            <rFont val="Tahoma"/>
            <family val="2"/>
          </rPr>
          <t xml:space="preserve">The United Nations Children's Fund </t>
        </r>
      </text>
    </comment>
    <comment ref="C68" authorId="0">
      <text>
        <r>
          <rPr>
            <b/>
            <sz val="8"/>
            <color indexed="81"/>
            <rFont val="Tahoma"/>
            <family val="2"/>
          </rPr>
          <t>Médecin du Monde France</t>
        </r>
      </text>
    </comment>
    <comment ref="D68" authorId="0">
      <text>
        <r>
          <rPr>
            <b/>
            <sz val="8"/>
            <color indexed="81"/>
            <rFont val="Tahoma"/>
            <family val="2"/>
          </rPr>
          <t xml:space="preserve">The United Nations Children's Fund </t>
        </r>
      </text>
    </comment>
    <comment ref="C69" authorId="0">
      <text>
        <r>
          <rPr>
            <b/>
            <sz val="8"/>
            <color indexed="81"/>
            <rFont val="Tahoma"/>
            <family val="2"/>
          </rPr>
          <t>United Nations High Commissioner for Refugees</t>
        </r>
      </text>
    </comment>
    <comment ref="D69" authorId="0">
      <text>
        <r>
          <rPr>
            <b/>
            <sz val="8"/>
            <color indexed="81"/>
            <rFont val="Tahoma"/>
            <family val="2"/>
          </rPr>
          <t>United Nations High Commissioner for Refugees</t>
        </r>
      </text>
    </comment>
    <comment ref="C70" authorId="0">
      <text>
        <r>
          <rPr>
            <b/>
            <sz val="8"/>
            <color indexed="81"/>
            <rFont val="Tahoma"/>
            <family val="2"/>
          </rPr>
          <t>United Nations High Commissioner for Refugees</t>
        </r>
      </text>
    </comment>
    <comment ref="D70" authorId="0">
      <text>
        <r>
          <rPr>
            <b/>
            <sz val="8"/>
            <color indexed="81"/>
            <rFont val="Tahoma"/>
            <family val="2"/>
          </rPr>
          <t>United Nations High Commissioner for Refugees</t>
        </r>
      </text>
    </comment>
    <comment ref="C71" authorId="0">
      <text>
        <r>
          <rPr>
            <b/>
            <sz val="8"/>
            <color indexed="81"/>
            <rFont val="Tahoma"/>
            <family val="2"/>
          </rPr>
          <t>United Nations High Commissioner for Refugees</t>
        </r>
      </text>
    </comment>
    <comment ref="D71" authorId="0">
      <text>
        <r>
          <rPr>
            <b/>
            <sz val="8"/>
            <color indexed="81"/>
            <rFont val="Tahoma"/>
            <family val="2"/>
          </rPr>
          <t>United Nations High Commissioner for Refugees</t>
        </r>
      </text>
    </comment>
    <comment ref="C72" authorId="0">
      <text>
        <r>
          <rPr>
            <b/>
            <sz val="8"/>
            <color indexed="81"/>
            <rFont val="Tahoma"/>
            <family val="2"/>
          </rPr>
          <t>The United States Agency for International Development</t>
        </r>
      </text>
    </comment>
    <comment ref="E72" authorId="0">
      <text>
        <r>
          <rPr>
            <b/>
            <sz val="8"/>
            <color indexed="81"/>
            <rFont val="Tahoma"/>
            <family val="2"/>
          </rPr>
          <t>The United States Agency for International Development</t>
        </r>
      </text>
    </comment>
  </commentList>
</comments>
</file>

<file path=xl/comments2.xml><?xml version="1.0" encoding="utf-8"?>
<comments xmlns="http://schemas.openxmlformats.org/spreadsheetml/2006/main">
  <authors>
    <author>UNICEF WASH</author>
  </authors>
  <commentList>
    <comment ref="AS14" authorId="0">
      <text>
        <r>
          <rPr>
            <b/>
            <sz val="9"/>
            <color indexed="81"/>
            <rFont val="Tahoma"/>
            <family val="2"/>
          </rPr>
          <t>UNICEF WASH:</t>
        </r>
        <r>
          <rPr>
            <sz val="9"/>
            <color indexed="81"/>
            <rFont val="Tahoma"/>
            <family val="2"/>
          </rPr>
          <t xml:space="preserve">
item d'un kit WASH</t>
        </r>
      </text>
    </comment>
  </commentList>
</comments>
</file>

<file path=xl/comments3.xml><?xml version="1.0" encoding="utf-8"?>
<comments xmlns="http://schemas.openxmlformats.org/spreadsheetml/2006/main">
  <authors>
    <author>Sambou</author>
  </authors>
  <commentList>
    <comment ref="A26" authorId="0">
      <text>
        <r>
          <rPr>
            <b/>
            <sz val="8"/>
            <color indexed="81"/>
            <rFont val="Tahoma"/>
            <family val="2"/>
          </rPr>
          <t>Agency for Technical Cooperation and Development</t>
        </r>
      </text>
    </comment>
    <comment ref="A27" authorId="0">
      <text>
        <r>
          <rPr>
            <b/>
            <sz val="8"/>
            <color indexed="81"/>
            <rFont val="Tahoma"/>
            <family val="2"/>
          </rPr>
          <t xml:space="preserve">Agency for International Medical Action
</t>
        </r>
      </text>
    </comment>
    <comment ref="A28" authorId="0">
      <text>
        <r>
          <rPr>
            <b/>
            <sz val="8"/>
            <color indexed="81"/>
            <rFont val="Tahoma"/>
            <family val="2"/>
          </rPr>
          <t>Agronomes et Vétérinaires Sans Frontières -</t>
        </r>
        <r>
          <rPr>
            <sz val="8"/>
            <color indexed="81"/>
            <rFont val="Tahoma"/>
            <family val="2"/>
          </rPr>
          <t>Association de solidarité internationale</t>
        </r>
      </text>
    </comment>
    <comment ref="A30" authorId="0">
      <text>
        <r>
          <rPr>
            <b/>
            <sz val="8"/>
            <color indexed="81"/>
            <rFont val="Tahoma"/>
            <family val="2"/>
          </rPr>
          <t>Croix Rouge Malienne</t>
        </r>
      </text>
    </comment>
    <comment ref="A31" authorId="0">
      <text>
        <r>
          <rPr>
            <b/>
            <sz val="8"/>
            <color indexed="81"/>
            <rFont val="Tahoma"/>
            <family val="2"/>
          </rPr>
          <t>Catholic Relief Services</t>
        </r>
      </text>
    </comment>
    <comment ref="A32" authorId="0">
      <text>
        <r>
          <rPr>
            <b/>
            <sz val="8"/>
            <color indexed="81"/>
            <rFont val="Tahoma"/>
            <family val="2"/>
          </rPr>
          <t>La Direction Générale de La Protection Civile</t>
        </r>
      </text>
    </comment>
    <comment ref="A33" authorId="0">
      <text>
        <r>
          <rPr>
            <b/>
            <sz val="8"/>
            <color indexed="81"/>
            <rFont val="Tahoma"/>
            <family val="2"/>
          </rPr>
          <t xml:space="preserve">International Organization for Migration
</t>
        </r>
      </text>
    </comment>
    <comment ref="A34" authorId="0">
      <text>
        <r>
          <rPr>
            <b/>
            <sz val="8"/>
            <color indexed="81"/>
            <rFont val="Tahoma"/>
            <family val="2"/>
          </rPr>
          <t xml:space="preserve">The International Rescue Committee </t>
        </r>
      </text>
    </comment>
    <comment ref="A35" authorId="0">
      <text>
        <r>
          <rPr>
            <b/>
            <sz val="8"/>
            <color indexed="81"/>
            <rFont val="Tahoma"/>
            <family val="2"/>
          </rPr>
          <t>Médecin du Monde Belgique</t>
        </r>
      </text>
    </comment>
    <comment ref="A36" authorId="0">
      <text>
        <r>
          <rPr>
            <b/>
            <sz val="8"/>
            <color indexed="81"/>
            <rFont val="Tahoma"/>
            <family val="2"/>
          </rPr>
          <t>Médecin du Monde France</t>
        </r>
      </text>
    </comment>
    <comment ref="A37" authorId="0">
      <text>
        <r>
          <rPr>
            <b/>
            <sz val="8"/>
            <color indexed="81"/>
            <rFont val="Tahoma"/>
            <family val="2"/>
          </rPr>
          <t>United Nations High Commissioner for Refugees</t>
        </r>
      </text>
    </comment>
    <comment ref="A38" authorId="0">
      <text>
        <r>
          <rPr>
            <b/>
            <sz val="8"/>
            <color indexed="81"/>
            <rFont val="Tahoma"/>
            <family val="2"/>
          </rPr>
          <t>The United States Agency for International Development</t>
        </r>
      </text>
    </comment>
  </commentList>
</comments>
</file>

<file path=xl/comments4.xml><?xml version="1.0" encoding="utf-8"?>
<comments xmlns="http://schemas.openxmlformats.org/spreadsheetml/2006/main">
  <authors>
    <author>Sambou</author>
  </authors>
  <commentList>
    <comment ref="A28" authorId="0">
      <text>
        <r>
          <rPr>
            <b/>
            <sz val="8"/>
            <color indexed="81"/>
            <rFont val="Tahoma"/>
            <family val="2"/>
          </rPr>
          <t>Agency for Technical Cooperation and Development</t>
        </r>
      </text>
    </comment>
    <comment ref="A29" authorId="0">
      <text>
        <r>
          <rPr>
            <b/>
            <sz val="8"/>
            <color indexed="81"/>
            <rFont val="Tahoma"/>
            <family val="2"/>
          </rPr>
          <t xml:space="preserve">Agency for International Medical Action
</t>
        </r>
      </text>
    </comment>
    <comment ref="A30" authorId="0">
      <text>
        <r>
          <rPr>
            <b/>
            <sz val="8"/>
            <color indexed="81"/>
            <rFont val="Tahoma"/>
            <family val="2"/>
          </rPr>
          <t>Agronomes et Vétérinaires Sans Frontières -</t>
        </r>
        <r>
          <rPr>
            <sz val="8"/>
            <color indexed="81"/>
            <rFont val="Tahoma"/>
            <family val="2"/>
          </rPr>
          <t>Association de solidarité internationale</t>
        </r>
      </text>
    </comment>
    <comment ref="A32" authorId="0">
      <text>
        <r>
          <rPr>
            <b/>
            <sz val="8"/>
            <color indexed="81"/>
            <rFont val="Tahoma"/>
            <family val="2"/>
          </rPr>
          <t>Croix Rouge Malienne</t>
        </r>
      </text>
    </comment>
    <comment ref="A33" authorId="0">
      <text>
        <r>
          <rPr>
            <b/>
            <sz val="8"/>
            <color indexed="81"/>
            <rFont val="Tahoma"/>
            <family val="2"/>
          </rPr>
          <t>Catholic Relief Services</t>
        </r>
      </text>
    </comment>
    <comment ref="A34" authorId="0">
      <text>
        <r>
          <rPr>
            <b/>
            <sz val="8"/>
            <color indexed="81"/>
            <rFont val="Tahoma"/>
            <family val="2"/>
          </rPr>
          <t>La Direction Générale de La Protection Civile</t>
        </r>
      </text>
    </comment>
    <comment ref="A35" authorId="0">
      <text>
        <r>
          <rPr>
            <b/>
            <sz val="8"/>
            <color indexed="81"/>
            <rFont val="Tahoma"/>
            <family val="2"/>
          </rPr>
          <t xml:space="preserve">International Organization for Migration
</t>
        </r>
      </text>
    </comment>
    <comment ref="A36" authorId="0">
      <text>
        <r>
          <rPr>
            <b/>
            <sz val="8"/>
            <color indexed="81"/>
            <rFont val="Tahoma"/>
            <family val="2"/>
          </rPr>
          <t xml:space="preserve">The International Rescue Committee </t>
        </r>
      </text>
    </comment>
    <comment ref="A37" authorId="0">
      <text>
        <r>
          <rPr>
            <b/>
            <sz val="8"/>
            <color indexed="81"/>
            <rFont val="Tahoma"/>
            <family val="2"/>
          </rPr>
          <t>Médecin du Monde Belgique</t>
        </r>
      </text>
    </comment>
    <comment ref="A38" authorId="0">
      <text>
        <r>
          <rPr>
            <b/>
            <sz val="8"/>
            <color indexed="81"/>
            <rFont val="Tahoma"/>
            <family val="2"/>
          </rPr>
          <t>Médecin du Monde France</t>
        </r>
      </text>
    </comment>
    <comment ref="A39" authorId="0">
      <text>
        <r>
          <rPr>
            <b/>
            <sz val="8"/>
            <color indexed="81"/>
            <rFont val="Tahoma"/>
            <family val="2"/>
          </rPr>
          <t>United Nations High Commissioner for Refugees</t>
        </r>
      </text>
    </comment>
    <comment ref="A40" authorId="0">
      <text>
        <r>
          <rPr>
            <b/>
            <sz val="8"/>
            <color indexed="81"/>
            <rFont val="Tahoma"/>
            <family val="2"/>
          </rPr>
          <t>The United States Agency for International Development</t>
        </r>
      </text>
    </comment>
  </commentList>
</comments>
</file>

<file path=xl/comments5.xml><?xml version="1.0" encoding="utf-8"?>
<comments xmlns="http://schemas.openxmlformats.org/spreadsheetml/2006/main">
  <authors>
    <author>Sambou</author>
  </authors>
  <commentList>
    <comment ref="A111" authorId="0">
      <text>
        <r>
          <rPr>
            <b/>
            <sz val="8"/>
            <color indexed="81"/>
            <rFont val="Tahoma"/>
            <family val="2"/>
          </rPr>
          <t>Médecin du Monde Belgique</t>
        </r>
      </text>
    </comment>
    <comment ref="A112" authorId="0">
      <text>
        <r>
          <rPr>
            <b/>
            <sz val="8"/>
            <color indexed="81"/>
            <rFont val="Tahoma"/>
            <family val="2"/>
          </rPr>
          <t>Médecin du Monde France</t>
        </r>
      </text>
    </comment>
  </commentList>
</comments>
</file>

<file path=xl/sharedStrings.xml><?xml version="1.0" encoding="utf-8"?>
<sst xmlns="http://schemas.openxmlformats.org/spreadsheetml/2006/main" count="2735" uniqueCount="1816">
  <si>
    <t>Cercle</t>
  </si>
  <si>
    <t>Commune</t>
  </si>
  <si>
    <t>P-Code</t>
  </si>
  <si>
    <t>111.01</t>
  </si>
  <si>
    <t>111.02</t>
  </si>
  <si>
    <t>211.01</t>
  </si>
  <si>
    <t>211.02</t>
  </si>
  <si>
    <t>212.01</t>
  </si>
  <si>
    <t>212.02</t>
  </si>
  <si>
    <t xml:space="preserve"> COM. DE BANGASSI                </t>
  </si>
  <si>
    <t xml:space="preserve"> COM. DE COLIMBINE               </t>
  </si>
  <si>
    <t xml:space="preserve"> COM. DE DIAMOU                  </t>
  </si>
  <si>
    <t xml:space="preserve"> COM. DE DJELEBOU                </t>
  </si>
  <si>
    <t xml:space="preserve"> COM. DE FALEME                  </t>
  </si>
  <si>
    <t xml:space="preserve"> COM. DE GORY GOPELA             </t>
  </si>
  <si>
    <t xml:space="preserve"> COM.DE GUIDIMAKAN K. KAFFO      </t>
  </si>
  <si>
    <t xml:space="preserve"> COM. DE HAWA DEMBAYA            </t>
  </si>
  <si>
    <t xml:space="preserve"> COM. DE KARAKORO                </t>
  </si>
  <si>
    <t xml:space="preserve"> COM. DE KEMENE TAMBO            </t>
  </si>
  <si>
    <t xml:space="preserve"> COM. DE KHOULOUM                </t>
  </si>
  <si>
    <t xml:space="preserve"> COM. DE KOUSSANE                </t>
  </si>
  <si>
    <t xml:space="preserve"> COM. DE LIBERTE DEMBAYA         </t>
  </si>
  <si>
    <t xml:space="preserve"> COM. DE LOGO                    </t>
  </si>
  <si>
    <t xml:space="preserve"> COM. DE MARENA DIOMBOUGOU       </t>
  </si>
  <si>
    <t xml:space="preserve"> COM. DE MARINTOUMANIA           </t>
  </si>
  <si>
    <t xml:space="preserve"> COM. DE SADIOLA                 </t>
  </si>
  <si>
    <t xml:space="preserve"> COM. DE SAHEL                   </t>
  </si>
  <si>
    <t xml:space="preserve"> COM. DE SAME DIONGOMA           </t>
  </si>
  <si>
    <t xml:space="preserve"> COM. DE SEGALA                  </t>
  </si>
  <si>
    <t xml:space="preserve"> COM. DE SERO DIAMANOU           </t>
  </si>
  <si>
    <t xml:space="preserve"> COM. DE SONY                    </t>
  </si>
  <si>
    <t xml:space="preserve"> COM. DE TAFACIRGA               </t>
  </si>
  <si>
    <t xml:space="preserve"> COM. DE KAYES                   </t>
  </si>
  <si>
    <t xml:space="preserve"> COM. DE FEGUI                   </t>
  </si>
  <si>
    <t xml:space="preserve"> COM. DE GOUMERA                 </t>
  </si>
  <si>
    <t xml:space="preserve"> COM. DE KONIAKARY               </t>
  </si>
  <si>
    <t xml:space="preserve"> COM. DE SOMANKIDY               </t>
  </si>
  <si>
    <t xml:space="preserve"> COM. DE BAFOULABE               </t>
  </si>
  <si>
    <t xml:space="preserve"> COM. DE BAMAFELE                </t>
  </si>
  <si>
    <t xml:space="preserve"> COM. DE DIAKON                  </t>
  </si>
  <si>
    <t xml:space="preserve"> COM. DE DIALLAN                 </t>
  </si>
  <si>
    <t xml:space="preserve"> COM. DE DIOKELI                 </t>
  </si>
  <si>
    <t xml:space="preserve"> COM. DE GOUNFAN                 </t>
  </si>
  <si>
    <t xml:space="preserve"> COM. DE KONTELA                 </t>
  </si>
  <si>
    <t xml:space="preserve"> COM. DE KOUNDIAN                </t>
  </si>
  <si>
    <t xml:space="preserve"> COM. DE MAHINA                  </t>
  </si>
  <si>
    <t xml:space="preserve"> COM. DE NIAMBIA                 </t>
  </si>
  <si>
    <t xml:space="preserve"> COM. DE OUALIA                  </t>
  </si>
  <si>
    <t xml:space="preserve"> COM. DE SIDIBELA                </t>
  </si>
  <si>
    <t xml:space="preserve"> COM. DE TOMORA                  </t>
  </si>
  <si>
    <t xml:space="preserve"> COM. DE BEMA                    </t>
  </si>
  <si>
    <t xml:space="preserve"> COM. DE DIANGOUNTE CAMARA       </t>
  </si>
  <si>
    <t xml:space="preserve"> COM. DE DIANGUIRDE              </t>
  </si>
  <si>
    <t xml:space="preserve"> COM. DE DIEMA                   </t>
  </si>
  <si>
    <t xml:space="preserve"> COM. DE DIEOURA                 </t>
  </si>
  <si>
    <t xml:space="preserve"> COM. DE DIOUMARA KOUSSATA       </t>
  </si>
  <si>
    <t xml:space="preserve"> COM. DE FASSOU DEBE             </t>
  </si>
  <si>
    <t xml:space="preserve"> COM. DE GOMITRADOUGOU           </t>
  </si>
  <si>
    <t xml:space="preserve"> COM. DE GROUMERA                </t>
  </si>
  <si>
    <t xml:space="preserve"> COM. DE GUEDEBINE               </t>
  </si>
  <si>
    <t xml:space="preserve"> COM. DE LAKAMANE                </t>
  </si>
  <si>
    <t xml:space="preserve"> COM. DE LAMBIDOU                </t>
  </si>
  <si>
    <t xml:space="preserve"> COM. DE MADIGA SACKO            </t>
  </si>
  <si>
    <t xml:space="preserve"> COM. DE SANSANKIDE              </t>
  </si>
  <si>
    <t xml:space="preserve"> COM. DE FATAO                   </t>
  </si>
  <si>
    <t xml:space="preserve"> COM. DE BAYE                    </t>
  </si>
  <si>
    <t xml:space="preserve"> COM. DE DABIA                   </t>
  </si>
  <si>
    <t xml:space="preserve"> COM. DE DIALAFARA               </t>
  </si>
  <si>
    <t xml:space="preserve"> COM. DE DOMBIA                  </t>
  </si>
  <si>
    <t xml:space="preserve"> COM. DE FALEA                   </t>
  </si>
  <si>
    <t xml:space="preserve"> COM. DE FARABA                  </t>
  </si>
  <si>
    <t xml:space="preserve"> COM. DE GUENEGORE               </t>
  </si>
  <si>
    <t xml:space="preserve"> COM. DE KASSAMA                 </t>
  </si>
  <si>
    <t xml:space="preserve"> COM. DE KENIEBA                 </t>
  </si>
  <si>
    <t xml:space="preserve"> COM. DE KOUROUKOTO              </t>
  </si>
  <si>
    <t xml:space="preserve"> COM. DE SAGALO                  </t>
  </si>
  <si>
    <t xml:space="preserve"> COM. DE SITAKILY                </t>
  </si>
  <si>
    <t xml:space="preserve"> COM. DE BADIA                   </t>
  </si>
  <si>
    <t xml:space="preserve"> COM. DE BENDOUGOUBA             </t>
  </si>
  <si>
    <t xml:space="preserve"> COM. DE BENKADI FOUNIA          </t>
  </si>
  <si>
    <t xml:space="preserve"> COM. DE BOUDOFO          </t>
  </si>
  <si>
    <t xml:space="preserve"> COM. DE BOUGARYBAYA             </t>
  </si>
  <si>
    <t xml:space="preserve"> COM. DE DIDENKO                 </t>
  </si>
  <si>
    <t xml:space="preserve"> COM. DE DJIDIAN                 </t>
  </si>
  <si>
    <t xml:space="preserve"> COM. DE  DJOUGOUN               </t>
  </si>
  <si>
    <t xml:space="preserve"> COM. DE GADOUGOU 1              </t>
  </si>
  <si>
    <t xml:space="preserve"> COM. DE GADOUGOU 2              </t>
  </si>
  <si>
    <t xml:space="preserve"> COM. DE GUEMOUKOURABA           </t>
  </si>
  <si>
    <t xml:space="preserve"> COM. DE KASSARO                 </t>
  </si>
  <si>
    <t xml:space="preserve"> COM. DE KITA NORD               </t>
  </si>
  <si>
    <t xml:space="preserve"> COM. DE KITA OUEST              </t>
  </si>
  <si>
    <t xml:space="preserve"> COM. DE KOBRI                   </t>
  </si>
  <si>
    <t xml:space="preserve"> COM. DE KOKOFATA                </t>
  </si>
  <si>
    <t xml:space="preserve"> COM. DE KOTOUBA                 </t>
  </si>
  <si>
    <t xml:space="preserve"> COM. DE KOULOU                  </t>
  </si>
  <si>
    <t xml:space="preserve"> COM. DE MADINA                  </t>
  </si>
  <si>
    <t xml:space="preserve"> COM. DE MAKANO                  </t>
  </si>
  <si>
    <t xml:space="preserve"> COM. DE NAMALA GUIMBA           </t>
  </si>
  <si>
    <t xml:space="preserve"> COM. DE NIANTANSO          </t>
  </si>
  <si>
    <t xml:space="preserve"> COM. DE SABOULA                 </t>
  </si>
  <si>
    <t xml:space="preserve"> COM. DE SEBEKORO                </t>
  </si>
  <si>
    <t xml:space="preserve"> COM. DE SEFETO NORD             </t>
  </si>
  <si>
    <t xml:space="preserve"> COM. DE SEFETO OUEST            </t>
  </si>
  <si>
    <t xml:space="preserve"> COM. DE SENKO                   </t>
  </si>
  <si>
    <t xml:space="preserve"> COM. DE SIRAKORO                </t>
  </si>
  <si>
    <t xml:space="preserve"> COM. DE SOURANSAN TOMOTO        </t>
  </si>
  <si>
    <t xml:space="preserve"> COM. DE TAMBAGA                 </t>
  </si>
  <si>
    <t xml:space="preserve"> COM. DE TOUKOTO                 </t>
  </si>
  <si>
    <t xml:space="preserve"> COM. DE KITA                    </t>
  </si>
  <si>
    <t xml:space="preserve"> COM. DE KOUROUNINKOTO           </t>
  </si>
  <si>
    <t xml:space="preserve"> COM. DE BANIERE KORE            </t>
  </si>
  <si>
    <t xml:space="preserve"> COM. DE DIABIGUE                </t>
  </si>
  <si>
    <t xml:space="preserve"> COM. DE DIARRA                  </t>
  </si>
  <si>
    <t xml:space="preserve"> COM. DE DIAYE COURA             </t>
  </si>
  <si>
    <t xml:space="preserve"> COM. DE GAVINANE                </t>
  </si>
  <si>
    <t xml:space="preserve"> COM. DE GOGUI                   </t>
  </si>
  <si>
    <t xml:space="preserve"> COM. DE GUETEMA                 </t>
  </si>
  <si>
    <t xml:space="preserve"> COM. DE KADIABA KADIEL          </t>
  </si>
  <si>
    <t xml:space="preserve"> COM. DE KORERA KORE             </t>
  </si>
  <si>
    <t xml:space="preserve"> COM.DE NIORO TOUGOUNERANGABE    </t>
  </si>
  <si>
    <t xml:space="preserve"> COM. DE SANDARE                 </t>
  </si>
  <si>
    <t xml:space="preserve"> COM. DE SIMBI                   </t>
  </si>
  <si>
    <t xml:space="preserve"> COM. DE YERERE                  </t>
  </si>
  <si>
    <t xml:space="preserve"> COM. DE NIORO                   </t>
  </si>
  <si>
    <t xml:space="preserve"> COM. DE TROUNGOUMBE             </t>
  </si>
  <si>
    <t xml:space="preserve"> COM. DE YOURI                   </t>
  </si>
  <si>
    <t xml:space="preserve"> COM. DE DIAFOUNOU DIONGAGA      </t>
  </si>
  <si>
    <t xml:space="preserve"> COM. DE DIAFOUNOU GORY          </t>
  </si>
  <si>
    <t xml:space="preserve"> COM. DE FANGA                   </t>
  </si>
  <si>
    <t xml:space="preserve"> COM. DE GORY                    </t>
  </si>
  <si>
    <t xml:space="preserve"> COM. DE GUIDIME                 </t>
  </si>
  <si>
    <t xml:space="preserve"> COM. DE KIRANE KANIAGA          </t>
  </si>
  <si>
    <t xml:space="preserve"> COM. DE KONSIGA                 </t>
  </si>
  <si>
    <t xml:space="preserve"> COM. DE KREMIS                  </t>
  </si>
  <si>
    <t xml:space="preserve"> COM. DE MAREKAFFO               </t>
  </si>
  <si>
    <t xml:space="preserve"> COM. DE SOUMPOU                 </t>
  </si>
  <si>
    <t xml:space="preserve"> COM. DE TRINGA                  </t>
  </si>
  <si>
    <t xml:space="preserve"> COM. DE TOYA                    </t>
  </si>
  <si>
    <t xml:space="preserve"> COM. DE DINANDOUGOU             </t>
  </si>
  <si>
    <t xml:space="preserve"> COM. DE DOUMBA                  </t>
  </si>
  <si>
    <t xml:space="preserve"> COM. DE KOULA                   </t>
  </si>
  <si>
    <t xml:space="preserve"> COM. DE MEGUETAN                </t>
  </si>
  <si>
    <t xml:space="preserve"> COM. DE NYAMINA                 </t>
  </si>
  <si>
    <t xml:space="preserve"> COM. DE SIRAKOROLA              </t>
  </si>
  <si>
    <t xml:space="preserve"> COM. DE TIENFALA                </t>
  </si>
  <si>
    <t xml:space="preserve"> COM. DE TOUGOUNI                </t>
  </si>
  <si>
    <t xml:space="preserve"> COM. DE KOULIKORO               </t>
  </si>
  <si>
    <t xml:space="preserve"> COM. DE BANAMBA                 </t>
  </si>
  <si>
    <t xml:space="preserve"> COM. DE BEN KADI                </t>
  </si>
  <si>
    <t xml:space="preserve"> COM. DE BORON                   </t>
  </si>
  <si>
    <t xml:space="preserve"> COM. DE DUGUWOLOWULA            </t>
  </si>
  <si>
    <t xml:space="preserve"> COM. DE KIBAN                   </t>
  </si>
  <si>
    <t xml:space="preserve"> COM. DE MADINA SACKO            </t>
  </si>
  <si>
    <t xml:space="preserve"> COM. DE SEBETE                  </t>
  </si>
  <si>
    <t xml:space="preserve"> COM. DE TOUBACORO               </t>
  </si>
  <si>
    <t xml:space="preserve"> COM. DE TOUKOROBA               </t>
  </si>
  <si>
    <t xml:space="preserve"> COM. DE BANCO                   </t>
  </si>
  <si>
    <t xml:space="preserve"> COM. DE BENKADI                 </t>
  </si>
  <si>
    <t xml:space="preserve"> COM. DE BINKO                   </t>
  </si>
  <si>
    <t xml:space="preserve"> COM. DE DEGNEKORO               </t>
  </si>
  <si>
    <t xml:space="preserve"> COM. DE DIEBE                   </t>
  </si>
  <si>
    <t xml:space="preserve"> COM. DE DIEDOUGOU               </t>
  </si>
  <si>
    <t xml:space="preserve"> COM. DE DIOUMAN                 </t>
  </si>
  <si>
    <t xml:space="preserve"> COM. DE DOLENDOUGOU             </t>
  </si>
  <si>
    <t xml:space="preserve"> COM. DE GUEGNEKA                </t>
  </si>
  <si>
    <t xml:space="preserve"> COM. DE JEKAFO                  </t>
  </si>
  <si>
    <t xml:space="preserve"> COM. DE KALADOUGOU              </t>
  </si>
  <si>
    <t xml:space="preserve"> COM. DE KEMEKAFO                </t>
  </si>
  <si>
    <t xml:space="preserve"> COM. DE KERELA                  </t>
  </si>
  <si>
    <t xml:space="preserve"> COM. DE KILIDOUGOU              </t>
  </si>
  <si>
    <t xml:space="preserve"> COM. DE MASSIGUI                </t>
  </si>
  <si>
    <t xml:space="preserve"> COM. DE NANGOLA                 </t>
  </si>
  <si>
    <t xml:space="preserve"> COM. DE NIANTJILA               </t>
  </si>
  <si>
    <t xml:space="preserve"> COM. DE N'DLONDOUGOU            </t>
  </si>
  <si>
    <t xml:space="preserve"> COM. DE N'GARADOUGOU            </t>
  </si>
  <si>
    <t xml:space="preserve"> COM. DE N'GOLOBOUGOU            </t>
  </si>
  <si>
    <t xml:space="preserve"> COM. DE TENINDOUGOU             </t>
  </si>
  <si>
    <t xml:space="preserve"> COM. DE WACORO                  </t>
  </si>
  <si>
    <t xml:space="preserve"> COM. DE ZAN COULIBALY           </t>
  </si>
  <si>
    <t xml:space="preserve"> COM. DE BALAN BAKAMA            </t>
  </si>
  <si>
    <t xml:space="preserve"> COM. DE KANIOGO                 </t>
  </si>
  <si>
    <t xml:space="preserve"> COM. DE MARAMANDOUGOU           </t>
  </si>
  <si>
    <t xml:space="preserve"> COM. DE MINIDIAN                </t>
  </si>
  <si>
    <t xml:space="preserve"> COM. DE NARENA                  </t>
  </si>
  <si>
    <t xml:space="preserve"> COM. DE NOUGA                   </t>
  </si>
  <si>
    <t xml:space="preserve"> COM. DE SELEFOUGOU              </t>
  </si>
  <si>
    <t xml:space="preserve"> COM. DE KARAN                   </t>
  </si>
  <si>
    <t xml:space="preserve"> COM. DE BAGUINEDA CAMP          </t>
  </si>
  <si>
    <t xml:space="preserve"> COM. DE BANCOUMANA              </t>
  </si>
  <si>
    <t xml:space="preserve"> COM. DE BOSSOFALA               </t>
  </si>
  <si>
    <t xml:space="preserve"> COM. DE BOUGOULA                </t>
  </si>
  <si>
    <t xml:space="preserve"> COM. DE DABAN                   </t>
  </si>
  <si>
    <t xml:space="preserve"> COM. DE DIAGO                   </t>
  </si>
  <si>
    <t xml:space="preserve"> COM. DE DIALAKOROBA             </t>
  </si>
  <si>
    <t xml:space="preserve"> COM. DE DIALAKORODJI            </t>
  </si>
  <si>
    <t xml:space="preserve"> COM. DE DIO GARE                </t>
  </si>
  <si>
    <t xml:space="preserve"> COM. DE DOGODOUMAN              </t>
  </si>
  <si>
    <t xml:space="preserve"> COM. DE DOMBILA                 </t>
  </si>
  <si>
    <t xml:space="preserve"> COM. DE DOUBABOUGOU             </t>
  </si>
  <si>
    <t xml:space="preserve"> COM. DE KALABANCORO             </t>
  </si>
  <si>
    <t xml:space="preserve"> COM. DE KALIFABOUGOU            </t>
  </si>
  <si>
    <t xml:space="preserve"> COM. DE KAMBILA                 </t>
  </si>
  <si>
    <t xml:space="preserve"> COM. DE KOUROUBA                </t>
  </si>
  <si>
    <t xml:space="preserve"> COM. DE MANDE                   </t>
  </si>
  <si>
    <t xml:space="preserve"> COM. DE MORIBABOUGOU            </t>
  </si>
  <si>
    <t xml:space="preserve"> COM. DE MOUNTOUGOULA            </t>
  </si>
  <si>
    <t xml:space="preserve"> COM. DE NIAGADINA               </t>
  </si>
  <si>
    <t xml:space="preserve"> COM. DE NIOUMAMAKANA            </t>
  </si>
  <si>
    <t xml:space="preserve"> COM. DE N'GABACORO DROIT        </t>
  </si>
  <si>
    <t xml:space="preserve"> COM. DE N'GOURABA               </t>
  </si>
  <si>
    <t xml:space="preserve"> COM. DE N'TJIBA                 </t>
  </si>
  <si>
    <t xml:space="preserve"> COM. DE OUELESSEBOUGOU          </t>
  </si>
  <si>
    <t xml:space="preserve"> COM. DE SAFO                    </t>
  </si>
  <si>
    <t xml:space="preserve"> COM. SANANKORO DJITOUMOU        </t>
  </si>
  <si>
    <t xml:space="preserve"> COM. DE SANANKOROBA             </t>
  </si>
  <si>
    <t xml:space="preserve"> COM. DE SANGAREBOUGOU           </t>
  </si>
  <si>
    <t xml:space="preserve"> COM. DE SIBY                    </t>
  </si>
  <si>
    <t xml:space="preserve"> COM. DE SOBRA                   </t>
  </si>
  <si>
    <t xml:space="preserve"> COM. TIAKADOUGOU DIALAKORO      </t>
  </si>
  <si>
    <t xml:space="preserve"> COM. DE TIELE                   </t>
  </si>
  <si>
    <t xml:space="preserve"> COM. DE YELEKEBOUGOU            </t>
  </si>
  <si>
    <t xml:space="preserve"> COM. DE KATI                    </t>
  </si>
  <si>
    <t xml:space="preserve"> COM. DE DIDIENI                 </t>
  </si>
  <si>
    <t xml:space="preserve"> COM. DE GUIHOYO                 </t>
  </si>
  <si>
    <t xml:space="preserve"> COM. DE KOLOKANI                </t>
  </si>
  <si>
    <t xml:space="preserve"> COM. DE MASSANTOLA              </t>
  </si>
  <si>
    <t xml:space="preserve"> COM. DE NONKON                  </t>
  </si>
  <si>
    <t xml:space="preserve"> COM. DE NOSSOMBOUGOU            </t>
  </si>
  <si>
    <t xml:space="preserve"> COM. DE OUOLODO                 </t>
  </si>
  <si>
    <t xml:space="preserve"> COM. DE SAGABALA                </t>
  </si>
  <si>
    <t xml:space="preserve"> COM. DE SEBECORO I              </t>
  </si>
  <si>
    <t xml:space="preserve"> COM. DE TIORIBOUGOU             </t>
  </si>
  <si>
    <t xml:space="preserve"> COM. DE ALLAHINA                </t>
  </si>
  <si>
    <t xml:space="preserve"> COM. DE DABO                    </t>
  </si>
  <si>
    <t xml:space="preserve"> COM. DE DILLY                   </t>
  </si>
  <si>
    <t xml:space="preserve"> COM. DE DOGOFRY                 </t>
  </si>
  <si>
    <t xml:space="preserve"> COM. DE FALLOU                  </t>
  </si>
  <si>
    <t xml:space="preserve"> COM. DE GUENEIBE                </t>
  </si>
  <si>
    <t xml:space="preserve"> COM. DE GUIRE                   </t>
  </si>
  <si>
    <t xml:space="preserve"> COM. DE KORONGA                 </t>
  </si>
  <si>
    <t xml:space="preserve"> COM. DE NARA                    </t>
  </si>
  <si>
    <t xml:space="preserve"> COM. DE NIAMANA                 </t>
  </si>
  <si>
    <t xml:space="preserve"> COM. DE OUAGADOU                </t>
  </si>
  <si>
    <t xml:space="preserve"> COM. DE  BLENDIO                </t>
  </si>
  <si>
    <t xml:space="preserve"> COM. DE DANDERESSO              </t>
  </si>
  <si>
    <t xml:space="preserve"> COM. DE DEMBELA                 </t>
  </si>
  <si>
    <t xml:space="preserve"> COM. DE DIALAKORO               </t>
  </si>
  <si>
    <t xml:space="preserve"> COM. DE DIOMATENE               </t>
  </si>
  <si>
    <t xml:space="preserve"> COM. DE DOGONI                  </t>
  </si>
  <si>
    <t xml:space="preserve"> COM. DE DOUMANABA               </t>
  </si>
  <si>
    <t xml:space="preserve"> COM. DE FAMA                    </t>
  </si>
  <si>
    <t xml:space="preserve"> COM. DE FARAKALA                </t>
  </si>
  <si>
    <t xml:space="preserve"> COM. DE FINKOLO                 </t>
  </si>
  <si>
    <t xml:space="preserve"> COM. DE FINKOLO GANADOUGOU      </t>
  </si>
  <si>
    <t xml:space="preserve"> COM. DE GONGASSO                </t>
  </si>
  <si>
    <t xml:space="preserve"> COM. DE KABARASSO               </t>
  </si>
  <si>
    <t xml:space="preserve"> COM. DE KABOILA                 </t>
  </si>
  <si>
    <t xml:space="preserve"> COM. DE KAFOUZIELA              </t>
  </si>
  <si>
    <t xml:space="preserve"> COM. DE KAPALA                  </t>
  </si>
  <si>
    <t xml:space="preserve"> COM. DE KAPOLONDOUGOU           </t>
  </si>
  <si>
    <t xml:space="preserve"> COM. DE KIGNAN                  </t>
  </si>
  <si>
    <t xml:space="preserve"> COM. DE KLELA                   </t>
  </si>
  <si>
    <t xml:space="preserve"> COM. DE KOFAN                   </t>
  </si>
  <si>
    <t xml:space="preserve"> COM. DE KOLOKOBA                </t>
  </si>
  <si>
    <t xml:space="preserve"> COM. DE KOUMANKOU               </t>
  </si>
  <si>
    <t xml:space="preserve"> COM. DE KOUORO                  </t>
  </si>
  <si>
    <t xml:space="preserve"> COM. DE KOUROUMA                </t>
  </si>
  <si>
    <t xml:space="preserve"> COM. DE LOBOUGOULA              </t>
  </si>
  <si>
    <t xml:space="preserve"> COM. DE MINIKO                  </t>
  </si>
  <si>
    <t xml:space="preserve"> COM. DE MIRIA                   </t>
  </si>
  <si>
    <t xml:space="preserve"> COM. DE MISSIRIKORO             </t>
  </si>
  <si>
    <t xml:space="preserve"> COM. DE NATIEN                  </t>
  </si>
  <si>
    <t xml:space="preserve"> COM. DE NIENA                   </t>
  </si>
  <si>
    <t xml:space="preserve"> COM. DE NONGO SOUALA            </t>
  </si>
  <si>
    <t xml:space="preserve"> COM. DE N'TJIKOUNA              </t>
  </si>
  <si>
    <t xml:space="preserve"> COM. DE PIMPERNA                </t>
  </si>
  <si>
    <t xml:space="preserve"> COM. DE SANZANA                 </t>
  </si>
  <si>
    <t xml:space="preserve"> COM. SOKOURANI MISSIRIKORO      </t>
  </si>
  <si>
    <t xml:space="preserve"> COM. DE TELLA                   </t>
  </si>
  <si>
    <t xml:space="preserve"> COM. DE TIANKADI                </t>
  </si>
  <si>
    <t xml:space="preserve"> COM. DE WATENI                  </t>
  </si>
  <si>
    <t xml:space="preserve"> COM. DE ZANFEREBOUGOU           </t>
  </si>
  <si>
    <t xml:space="preserve"> COM. DE ZANGARADOUGOU           </t>
  </si>
  <si>
    <t xml:space="preserve"> COM. DE ZANIENA                 </t>
  </si>
  <si>
    <t xml:space="preserve"> COM. DE SIKASSO                 </t>
  </si>
  <si>
    <t xml:space="preserve"> COM. DE BLADIE TIEMALA          </t>
  </si>
  <si>
    <t xml:space="preserve"> COM. DE SYEN TOULA              </t>
  </si>
  <si>
    <t xml:space="preserve"> COM. DE  DANOU                  </t>
  </si>
  <si>
    <t xml:space="preserve"> COM. DE DEBELIN                 </t>
  </si>
  <si>
    <t xml:space="preserve"> COM. DE DEFINA                  </t>
  </si>
  <si>
    <t xml:space="preserve"> COM. DE DOGO                    </t>
  </si>
  <si>
    <t xml:space="preserve"> COM. DE DOMBA                   </t>
  </si>
  <si>
    <t xml:space="preserve"> COM. DE FARADIELE               </t>
  </si>
  <si>
    <t xml:space="preserve"> COM. DE FARAGOUARAN             </t>
  </si>
  <si>
    <t xml:space="preserve"> COM. DE GARALO                  </t>
  </si>
  <si>
    <t xml:space="preserve"> COM. DE KELEYA                  </t>
  </si>
  <si>
    <t xml:space="preserve"> COM. DE KOKELE                  </t>
  </si>
  <si>
    <t xml:space="preserve"> COM. DE KOLA                    </t>
  </si>
  <si>
    <t xml:space="preserve"> COM. DE KOUMANTOU               </t>
  </si>
  <si>
    <t xml:space="preserve"> COM. DE KOUROULAMINI            </t>
  </si>
  <si>
    <t xml:space="preserve"> COM. DE MERIDIELA               </t>
  </si>
  <si>
    <t xml:space="preserve"> COM. DE OUROUN                  </t>
  </si>
  <si>
    <t xml:space="preserve"> COM. DE SANSO                   </t>
  </si>
  <si>
    <t xml:space="preserve"> COM. DE SIBIRILA                </t>
  </si>
  <si>
    <t xml:space="preserve"> COM. DE SIDO                    </t>
  </si>
  <si>
    <t xml:space="preserve"> COM. TIEMALA BANIMONOTIE        </t>
  </si>
  <si>
    <t xml:space="preserve"> COM. DE WOLA                    </t>
  </si>
  <si>
    <t xml:space="preserve"> COM. DE YININDOUGOU             </t>
  </si>
  <si>
    <t xml:space="preserve"> COM. DE YIRIDOUGOU              </t>
  </si>
  <si>
    <t xml:space="preserve"> COM. DE ZANTIEBOUGOU            </t>
  </si>
  <si>
    <t xml:space="preserve"> COM. DE BOUGOUNI                </t>
  </si>
  <si>
    <t xml:space="preserve"> COM. DE DIOU                    </t>
  </si>
  <si>
    <t xml:space="preserve"> COM. DE DIOUMATENE              </t>
  </si>
  <si>
    <t xml:space="preserve"> COM. DE FOUROU                  </t>
  </si>
  <si>
    <t xml:space="preserve"> COM. DE KADIOLO                 </t>
  </si>
  <si>
    <t xml:space="preserve"> COM. DE KAI                     </t>
  </si>
  <si>
    <t xml:space="preserve"> COM. DE LOULOUNI                </t>
  </si>
  <si>
    <t xml:space="preserve"> COM. DE MISSENI                 </t>
  </si>
  <si>
    <t xml:space="preserve"> COM. DE NIMBOUGOU               </t>
  </si>
  <si>
    <t xml:space="preserve"> COM. DE ZEGOUA                  </t>
  </si>
  <si>
    <t xml:space="preserve"> COM. DE FAKOLA                  </t>
  </si>
  <si>
    <t xml:space="preserve"> COM. DE FARAKO                  </t>
  </si>
  <si>
    <t xml:space="preserve"> COM. DE KADIANA                 </t>
  </si>
  <si>
    <t xml:space="preserve"> COM. DE KEBILA                  </t>
  </si>
  <si>
    <t xml:space="preserve"> COM. DE  KOLONDIEBA             </t>
  </si>
  <si>
    <t xml:space="preserve"> COM. DE KOLOSSO                 </t>
  </si>
  <si>
    <t xml:space="preserve"> COM. DE MENA                    </t>
  </si>
  <si>
    <t xml:space="preserve"> COM. DE  NANGALASSO             </t>
  </si>
  <si>
    <t xml:space="preserve"> COM. DE  N'GOLODIANA            </t>
  </si>
  <si>
    <t xml:space="preserve"> COM. DE TIONGUI                 </t>
  </si>
  <si>
    <t xml:space="preserve"> COM. DE TOUSSEGUELA             </t>
  </si>
  <si>
    <t xml:space="preserve"> COM. DE  DIEDOUGOU              </t>
  </si>
  <si>
    <t xml:space="preserve"> COM. DE DIOURADOUGOU KAFO       </t>
  </si>
  <si>
    <t xml:space="preserve"> COM. DE FAGUI                   </t>
  </si>
  <si>
    <t xml:space="preserve"> COM. DE FAKOLO                  </t>
  </si>
  <si>
    <t xml:space="preserve"> COM. DE GOUADJI KAO             </t>
  </si>
  <si>
    <t xml:space="preserve"> COM. DE GOUDIE SOUGOUNA         </t>
  </si>
  <si>
    <t xml:space="preserve"> COM. DE KAFO FABOLI             </t>
  </si>
  <si>
    <t xml:space="preserve"> COM. DE KARAGOUANA MALLE        </t>
  </si>
  <si>
    <t xml:space="preserve"> COM. DE KOLONIGUE               </t>
  </si>
  <si>
    <t xml:space="preserve"> COM. DE KONINA                  </t>
  </si>
  <si>
    <t xml:space="preserve"> COM. DE KONINGUE                </t>
  </si>
  <si>
    <t xml:space="preserve"> COM. DE KONSEGUELA              </t>
  </si>
  <si>
    <t xml:space="preserve"> COM. DE KOROMO                  </t>
  </si>
  <si>
    <t xml:space="preserve"> COM. DE KOUNIANA                </t>
  </si>
  <si>
    <t xml:space="preserve"> COM. DE LOGOUANA                </t>
  </si>
  <si>
    <t xml:space="preserve"> COM. DE MIENA                   </t>
  </si>
  <si>
    <t xml:space="preserve"> COM. DE M'PESSOBA               </t>
  </si>
  <si>
    <t xml:space="preserve"> COM. DE NAFANGA                 </t>
  </si>
  <si>
    <t xml:space="preserve"> COM. DE NAMPE                   </t>
  </si>
  <si>
    <t xml:space="preserve"> COM. DE NIANTAGA                </t>
  </si>
  <si>
    <t xml:space="preserve"> COM. DE N'GOLONIANASSO          </t>
  </si>
  <si>
    <t xml:space="preserve"> COM. DE N'GOUTJINA              </t>
  </si>
  <si>
    <t xml:space="preserve"> COM. DE N'TOSSONI               </t>
  </si>
  <si>
    <t xml:space="preserve"> COM. DE SINCINA                 </t>
  </si>
  <si>
    <t xml:space="preserve"> COM. DE SINKOLO                 </t>
  </si>
  <si>
    <t xml:space="preserve"> COM. DE SONGOUA                 </t>
  </si>
  <si>
    <t xml:space="preserve"> COM. DE SONGO DOUBAKORE         </t>
  </si>
  <si>
    <t xml:space="preserve"> COM. DE SOROBASSO               </t>
  </si>
  <si>
    <t xml:space="preserve"> COM. DE TAO                     </t>
  </si>
  <si>
    <t xml:space="preserve"> COM. DE YOGNOGO                 </t>
  </si>
  <si>
    <t xml:space="preserve"> COM. DE ZANFIGUE                </t>
  </si>
  <si>
    <t xml:space="preserve"> COM. DE ZANGASSO                </t>
  </si>
  <si>
    <t xml:space="preserve"> COM. DE ZANINA                  </t>
  </si>
  <si>
    <t xml:space="preserve"> COM. DE ZEBALA                  </t>
  </si>
  <si>
    <t xml:space="preserve"> COM. DE KOUTIALA                </t>
  </si>
  <si>
    <t xml:space="preserve"> COM. DE BAYA                    </t>
  </si>
  <si>
    <t xml:space="preserve"> COM. DE BOLO FOUTA              </t>
  </si>
  <si>
    <t xml:space="preserve"> COM. DE DJALLON FOULA           </t>
  </si>
  <si>
    <t xml:space="preserve"> COM. DE DJIGUIYA DE KOLONI      </t>
  </si>
  <si>
    <t xml:space="preserve"> COM. DE GOUANAN                 </t>
  </si>
  <si>
    <t xml:space="preserve"> COM. DE GOUANDIAKA              </t>
  </si>
  <si>
    <t xml:space="preserve"> COM. DE KOUSSAN                 </t>
  </si>
  <si>
    <t xml:space="preserve"> COM. DE  SANKARANI              </t>
  </si>
  <si>
    <t xml:space="preserve"> COM. DE SERE MOUSSA ANI         </t>
  </si>
  <si>
    <t xml:space="preserve"> COM. DE TAGANDOUGOU             </t>
  </si>
  <si>
    <t xml:space="preserve"> COM. DE WASSOULOU BALLE         </t>
  </si>
  <si>
    <t xml:space="preserve"> COM. DE YALLANKORO SOLOBA       </t>
  </si>
  <si>
    <t xml:space="preserve"> COM. DE BOURA                   </t>
  </si>
  <si>
    <t xml:space="preserve"> COM. DE KARANGANA               </t>
  </si>
  <si>
    <t xml:space="preserve"> COM. DE KIFFOSSO 1              </t>
  </si>
  <si>
    <t xml:space="preserve"> COM. DE KOUMBIA                 </t>
  </si>
  <si>
    <t xml:space="preserve"> COM. DE KOURY                   </t>
  </si>
  <si>
    <t xml:space="preserve"> COM. DE MAHOU                   </t>
  </si>
  <si>
    <t xml:space="preserve"> COM. DE MENAMBA 1               </t>
  </si>
  <si>
    <t xml:space="preserve"> COM. DE OURIKELA                </t>
  </si>
  <si>
    <t xml:space="preserve"> COM. DE YOROSSO                 </t>
  </si>
  <si>
    <t xml:space="preserve"> COM. DE BAGUINDADOUGOU          </t>
  </si>
  <si>
    <t xml:space="preserve"> COM. DE BELLEN                  </t>
  </si>
  <si>
    <t xml:space="preserve"> COM. DE BOUSSIN                 </t>
  </si>
  <si>
    <t xml:space="preserve"> COM. DE  CINZANA                </t>
  </si>
  <si>
    <t xml:space="preserve"> COM. DE  DIGANIBOUGOU           </t>
  </si>
  <si>
    <t xml:space="preserve"> COM. DE  DIORO                  </t>
  </si>
  <si>
    <t xml:space="preserve"> COM. DE  DIOUNA                 </t>
  </si>
  <si>
    <t xml:space="preserve"> COM. DE  DOUGABOUGOU            </t>
  </si>
  <si>
    <t xml:space="preserve"> COM. DE  FARAKO                 </t>
  </si>
  <si>
    <t xml:space="preserve"> COM. DE  FARAKOU MASSA          </t>
  </si>
  <si>
    <t xml:space="preserve"> COM. DE  FATINE                 </t>
  </si>
  <si>
    <t xml:space="preserve"> COM. DE  KAMIANDOUGOU           </t>
  </si>
  <si>
    <t xml:space="preserve"> COM. DE  KATIENA                </t>
  </si>
  <si>
    <t xml:space="preserve"> COM. DE  KONODIMINI             </t>
  </si>
  <si>
    <t xml:space="preserve"> COM. DE  MARKALA                </t>
  </si>
  <si>
    <t xml:space="preserve"> COM. DE  MASSALA                </t>
  </si>
  <si>
    <t xml:space="preserve"> COM. DE  N'GARA                 </t>
  </si>
  <si>
    <t xml:space="preserve"> COM. DE N'KOUMANDOUGOU          </t>
  </si>
  <si>
    <t xml:space="preserve"> COM. DE PELENGANA               </t>
  </si>
  <si>
    <t xml:space="preserve"> COM. DE  SAKOIBA                </t>
  </si>
  <si>
    <t xml:space="preserve"> COM. DE SAMA FOULALA            </t>
  </si>
  <si>
    <t xml:space="preserve"> COM. DE  SAMINE                 </t>
  </si>
  <si>
    <t xml:space="preserve"> COM. DE SANSANDING              </t>
  </si>
  <si>
    <t xml:space="preserve"> COM. DE  SEBOUGOU               </t>
  </si>
  <si>
    <t xml:space="preserve"> COM. DE  SIBILA                 </t>
  </si>
  <si>
    <t xml:space="preserve"> COM. DE  SOIGNEBOUGOU           </t>
  </si>
  <si>
    <t xml:space="preserve"> COM. DE  SOUBA                  </t>
  </si>
  <si>
    <t xml:space="preserve"> COM. DE TOGOU                   </t>
  </si>
  <si>
    <t xml:space="preserve"> COM. DE SEGOU                   </t>
  </si>
  <si>
    <t xml:space="preserve"> COM. DE BARAOUELI               </t>
  </si>
  <si>
    <t xml:space="preserve"> COM. DE  BOIDIE                 </t>
  </si>
  <si>
    <t xml:space="preserve"> COM. DE  DOUGOUFIE              </t>
  </si>
  <si>
    <t xml:space="preserve"> COM. DE  GOUENDO                </t>
  </si>
  <si>
    <t xml:space="preserve"> COM. DE KALAKE                  </t>
  </si>
  <si>
    <t xml:space="preserve"> COM. DE  KONOBOUGOU             </t>
  </si>
  <si>
    <t xml:space="preserve"> COM. DE N'GASSOLA               </t>
  </si>
  <si>
    <t xml:space="preserve"> COM. DE SANANDO                 </t>
  </si>
  <si>
    <t xml:space="preserve"> COM. DE SOMO                    </t>
  </si>
  <si>
    <t xml:space="preserve"> COM. DE  TAMANI                 </t>
  </si>
  <si>
    <t xml:space="preserve"> COM. DE TESSERLA                </t>
  </si>
  <si>
    <t xml:space="preserve"> COM. DE BEGUENE                 </t>
  </si>
  <si>
    <t xml:space="preserve"> COM. DE BLA                     </t>
  </si>
  <si>
    <t xml:space="preserve"> COM. DE DIARAMANA               </t>
  </si>
  <si>
    <t xml:space="preserve"> COM. DE DIENA                   </t>
  </si>
  <si>
    <t xml:space="preserve"> COM. DE DOUGOUOLO               </t>
  </si>
  <si>
    <t xml:space="preserve"> COM. DE FALO                    </t>
  </si>
  <si>
    <t xml:space="preserve"> COM. DE FANI                    </t>
  </si>
  <si>
    <t xml:space="preserve"> COM. DE KAZANGASSO              </t>
  </si>
  <si>
    <t xml:space="preserve"> COM. DE  KEMENI                 </t>
  </si>
  <si>
    <t xml:space="preserve"> COM. DE  KORODOUGOU             </t>
  </si>
  <si>
    <t xml:space="preserve"> COM. DE  KOULANDOUGOU           </t>
  </si>
  <si>
    <t xml:space="preserve"> COM. DE NIALA                   </t>
  </si>
  <si>
    <t xml:space="preserve"> COM. DE SAMABOGO                </t>
  </si>
  <si>
    <t xml:space="preserve"> COM. DE SOMASSO                 </t>
  </si>
  <si>
    <t xml:space="preserve"> COM. DE TIEMENA                 </t>
  </si>
  <si>
    <t xml:space="preserve"> COM. DE TOUNA                   </t>
  </si>
  <si>
    <t xml:space="preserve"> COM. DE YANGASSO                </t>
  </si>
  <si>
    <t xml:space="preserve"> COM. DE BOKY WERE               </t>
  </si>
  <si>
    <t xml:space="preserve"> COM. DE FOLOMANA                </t>
  </si>
  <si>
    <t xml:space="preserve"> COM. DE KOKRY CENTRE            </t>
  </si>
  <si>
    <t xml:space="preserve"> COM. DE KOLONGO                 </t>
  </si>
  <si>
    <t xml:space="preserve"> COM. DE MACINA                  </t>
  </si>
  <si>
    <t xml:space="preserve"> COM. DE MATOMO                  </t>
  </si>
  <si>
    <t xml:space="preserve"> COM. DE MONIMPEBOUGOU           </t>
  </si>
  <si>
    <t xml:space="preserve"> COM. DE SALOBA                  </t>
  </si>
  <si>
    <t xml:space="preserve"> COM. DE SANA                    </t>
  </si>
  <si>
    <t xml:space="preserve"> COM. DE SOULEYE                 </t>
  </si>
  <si>
    <t xml:space="preserve"> COM. DE TONGUE                  </t>
  </si>
  <si>
    <t xml:space="preserve"> COM. DE DIABALY                 </t>
  </si>
  <si>
    <t xml:space="preserve"> COM. DE  KALA SIGUIDA           </t>
  </si>
  <si>
    <t xml:space="preserve"> COM. DE  MARIKO                 </t>
  </si>
  <si>
    <t xml:space="preserve"> COM. DE NAMPALARI               </t>
  </si>
  <si>
    <t xml:space="preserve"> COM. DE NIONO                   </t>
  </si>
  <si>
    <t xml:space="preserve"> COM. DE POGO                    </t>
  </si>
  <si>
    <t xml:space="preserve"> COM. DE SIRIBALA                </t>
  </si>
  <si>
    <t xml:space="preserve"> COM. DE SIRIFILA BOUNDY         </t>
  </si>
  <si>
    <t xml:space="preserve"> COM. DE SOKOLO                  </t>
  </si>
  <si>
    <t xml:space="preserve"> COM. DE TORIDAGA                </t>
  </si>
  <si>
    <t xml:space="preserve"> COM. DE YEREDON SANIONA         </t>
  </si>
  <si>
    <t xml:space="preserve"> COM. DE BARAMANDOUGOU           </t>
  </si>
  <si>
    <t xml:space="preserve"> COM. DE  DAH                    </t>
  </si>
  <si>
    <t xml:space="preserve"> COM. DE  DIAKOUROUNA            </t>
  </si>
  <si>
    <t xml:space="preserve"> COM. DE DIELI                   </t>
  </si>
  <si>
    <t xml:space="preserve"> COM. DE DJEGUENA                </t>
  </si>
  <si>
    <t xml:space="preserve"> COM. DE FION                    </t>
  </si>
  <si>
    <t xml:space="preserve"> COM. DE KANIEGUE                </t>
  </si>
  <si>
    <t xml:space="preserve"> COM. DE KARABA                  </t>
  </si>
  <si>
    <t xml:space="preserve"> COM. DE KASSOROLA               </t>
  </si>
  <si>
    <t xml:space="preserve"> COM. DE KAVA                    </t>
  </si>
  <si>
    <t xml:space="preserve"> COM. DE MORIBILA                </t>
  </si>
  <si>
    <t xml:space="preserve"> COM. DE  NIAMANA                </t>
  </si>
  <si>
    <t xml:space="preserve"> COM. DE NIASSO                  </t>
  </si>
  <si>
    <t xml:space="preserve"> COM. DE N'GOA                   </t>
  </si>
  <si>
    <t xml:space="preserve"> COM. DE N'TOROSSO               </t>
  </si>
  <si>
    <t xml:space="preserve"> COM. DE OUOLON                  </t>
  </si>
  <si>
    <t xml:space="preserve"> COM. DE SIADOUGOU               </t>
  </si>
  <si>
    <t xml:space="preserve"> COM. DE SOUROUNTOUNA            </t>
  </si>
  <si>
    <t xml:space="preserve"> COM. DE SY                      </t>
  </si>
  <si>
    <t xml:space="preserve"> COM. DE TENE                    </t>
  </si>
  <si>
    <t xml:space="preserve"> COM. DE  TENENI                 </t>
  </si>
  <si>
    <t xml:space="preserve"> COM. DE  TOURAKOLOMBA           </t>
  </si>
  <si>
    <t xml:space="preserve"> COM. DE  WAKI                   </t>
  </si>
  <si>
    <t xml:space="preserve"> COM. DE SAN                     </t>
  </si>
  <si>
    <t xml:space="preserve"> COM. DE BENENA                  </t>
  </si>
  <si>
    <t xml:space="preserve"> COM. DE DIORA                   </t>
  </si>
  <si>
    <t xml:space="preserve"> COM. DE  FANGASSO               </t>
  </si>
  <si>
    <t xml:space="preserve"> COM. DE LANFIALA                </t>
  </si>
  <si>
    <t xml:space="preserve"> COM. DE MAFOUNE                 </t>
  </si>
  <si>
    <t xml:space="preserve"> COM. DE MANDIAKUY               </t>
  </si>
  <si>
    <t xml:space="preserve"> COM. DE OUAN                    </t>
  </si>
  <si>
    <t xml:space="preserve"> COM. DE SANEKUY                 </t>
  </si>
  <si>
    <t xml:space="preserve"> COM. DE TIMISSA                 </t>
  </si>
  <si>
    <t xml:space="preserve"> COM. DE TOMINIAN                </t>
  </si>
  <si>
    <t xml:space="preserve"> COM. DE YASSO                   </t>
  </si>
  <si>
    <t xml:space="preserve"> COM. DE BASSIROU                </t>
  </si>
  <si>
    <t xml:space="preserve"> COM. DE BORONDOUGOU             </t>
  </si>
  <si>
    <t xml:space="preserve"> COM. DE DIALLOUBE               </t>
  </si>
  <si>
    <t xml:space="preserve"> COM. DE FATOMA                  </t>
  </si>
  <si>
    <t xml:space="preserve"> COM. DE KONNA                   </t>
  </si>
  <si>
    <t xml:space="preserve"> COM. DE KOROMBANA               </t>
  </si>
  <si>
    <t xml:space="preserve"> COM. DE KOUBAYE                 </t>
  </si>
  <si>
    <t xml:space="preserve"> COM. DE KOUNARI                 </t>
  </si>
  <si>
    <t xml:space="preserve"> COM. DE OURO MODI               </t>
  </si>
  <si>
    <t xml:space="preserve"> COM. DE OUROUBE DOUDE           </t>
  </si>
  <si>
    <t xml:space="preserve"> COM. DE SASALBE                 </t>
  </si>
  <si>
    <t xml:space="preserve"> COM. DE SIO                     </t>
  </si>
  <si>
    <t xml:space="preserve"> COM. DE SOCOURA                 </t>
  </si>
  <si>
    <t xml:space="preserve"> COM. DE SOYE                    </t>
  </si>
  <si>
    <t xml:space="preserve"> COM. DE MOPTI                   </t>
  </si>
  <si>
    <t xml:space="preserve"> COM. DE BARA SARA               </t>
  </si>
  <si>
    <t xml:space="preserve"> COM. DE BORKO                   </t>
  </si>
  <si>
    <t xml:space="preserve"> COM. DE DANDOLI                 </t>
  </si>
  <si>
    <t xml:space="preserve"> COM. DE DIAMNATI                </t>
  </si>
  <si>
    <t xml:space="preserve"> COM. DE DOGANI BERE             </t>
  </si>
  <si>
    <t xml:space="preserve"> COM. DE DOUCOUMBO               </t>
  </si>
  <si>
    <t xml:space="preserve"> COM. DE DOUROU                  </t>
  </si>
  <si>
    <t xml:space="preserve"> COM. DE KENDE                   </t>
  </si>
  <si>
    <t xml:space="preserve"> COM. DE KENDIE                  </t>
  </si>
  <si>
    <t xml:space="preserve"> COM. DE LOWOL GUEOU             </t>
  </si>
  <si>
    <t xml:space="preserve"> COM. DE METOUMOU                </t>
  </si>
  <si>
    <t xml:space="preserve"> COM. DE ONDOUGOU                </t>
  </si>
  <si>
    <t xml:space="preserve"> COM. DE PELOU                   </t>
  </si>
  <si>
    <t xml:space="preserve"> COM. DE PIGNARI                 </t>
  </si>
  <si>
    <t xml:space="preserve"> COM. DE PIGNARI BANA            </t>
  </si>
  <si>
    <t xml:space="preserve"> COM. DE SANGHA                  </t>
  </si>
  <si>
    <t xml:space="preserve"> COM. DE SEGUE IRE               </t>
  </si>
  <si>
    <t xml:space="preserve"> COM. DE SOROLY                  </t>
  </si>
  <si>
    <t xml:space="preserve"> COM. DE TIMIRI                  </t>
  </si>
  <si>
    <t xml:space="preserve"> COM. DE WADOUBA                 </t>
  </si>
  <si>
    <t xml:space="preserve"> COM. DE BANDIAGARA              </t>
  </si>
  <si>
    <t xml:space="preserve"> COM. DE BANKASS                 </t>
  </si>
  <si>
    <t xml:space="preserve"> COM. DE DIALLASSAGOU            </t>
  </si>
  <si>
    <t xml:space="preserve"> COM. DE DIMBAL HABE             </t>
  </si>
  <si>
    <t xml:space="preserve"> COM. DE KANI BOZON              </t>
  </si>
  <si>
    <t xml:space="preserve"> COM. DE KOULOGON HABE           </t>
  </si>
  <si>
    <t xml:space="preserve"> COM. DE LESSAGOU HABE           </t>
  </si>
  <si>
    <t xml:space="preserve"> COM. DE OUONKORO                </t>
  </si>
  <si>
    <t xml:space="preserve"> COM. DE SEGUE                   </t>
  </si>
  <si>
    <t xml:space="preserve"> COM. DE SOKOURA                 </t>
  </si>
  <si>
    <t xml:space="preserve"> COM. DE SOUBALA                 </t>
  </si>
  <si>
    <t xml:space="preserve"> COM. DE TORI                    </t>
  </si>
  <si>
    <t xml:space="preserve"> COM. DE DANDOUGOU FAKALA        </t>
  </si>
  <si>
    <t xml:space="preserve"> COM. DE DERARY                  </t>
  </si>
  <si>
    <t xml:space="preserve"> COM. DE FAKALA                  </t>
  </si>
  <si>
    <t xml:space="preserve"> COM. DE FEMAYE                  </t>
  </si>
  <si>
    <t xml:space="preserve"> COM. DE KEWA                    </t>
  </si>
  <si>
    <t xml:space="preserve"> COM. DE MADIAMA                 </t>
  </si>
  <si>
    <t xml:space="preserve"> COM. DE NEMA BADENYAKAFO        </t>
  </si>
  <si>
    <t xml:space="preserve"> COM. DE NIANSANARI              </t>
  </si>
  <si>
    <t xml:space="preserve"> COM. DE OURO ALI                </t>
  </si>
  <si>
    <t xml:space="preserve"> COM. DE PONDORI                 </t>
  </si>
  <si>
    <t xml:space="preserve"> COM. DE TOGUE MOURARI           </t>
  </si>
  <si>
    <t xml:space="preserve"> COM. DE DJENNE                  </t>
  </si>
  <si>
    <t xml:space="preserve"> COM. DE DALLAH                  </t>
  </si>
  <si>
    <t xml:space="preserve"> COM. DE DANGOL BORE             </t>
  </si>
  <si>
    <t xml:space="preserve"> COM. DE DEBERE                  </t>
  </si>
  <si>
    <t xml:space="preserve"> COM. DE DIANWELY                </t>
  </si>
  <si>
    <t xml:space="preserve"> COM. DE  DJAPTODJI              </t>
  </si>
  <si>
    <t xml:space="preserve"> COM. DE  GANDAMIA               </t>
  </si>
  <si>
    <t xml:space="preserve"> COM. DE HAIRE                   </t>
  </si>
  <si>
    <t xml:space="preserve"> COM. DE HOMBORI                 </t>
  </si>
  <si>
    <t xml:space="preserve"> COM. DE KERENA                  </t>
  </si>
  <si>
    <t xml:space="preserve"> COM. DE KORAROU                 </t>
  </si>
  <si>
    <t xml:space="preserve"> COM. DE  KOUBEWEL KOUNDIA       </t>
  </si>
  <si>
    <t xml:space="preserve"> COM. DE MONDORO                 </t>
  </si>
  <si>
    <t xml:space="preserve"> COM. DE PETAKA                  </t>
  </si>
  <si>
    <t xml:space="preserve"> COM. DE TEDIE                   </t>
  </si>
  <si>
    <t xml:space="preserve"> COM. DE DOUENTZA                </t>
  </si>
  <si>
    <t xml:space="preserve"> COM. DE BAMBA                   </t>
  </si>
  <si>
    <t xml:space="preserve"> COM. DE BARAPIRELI              </t>
  </si>
  <si>
    <t xml:space="preserve"> COM. DE BONDO                   </t>
  </si>
  <si>
    <t xml:space="preserve"> COM. DE DIANKABOU               </t>
  </si>
  <si>
    <t xml:space="preserve"> COM. DE DINANGOUROU             </t>
  </si>
  <si>
    <t xml:space="preserve"> COM. DE DIOUNGANI               </t>
  </si>
  <si>
    <t xml:space="preserve"> COM. DE DOUGOUTENE I            </t>
  </si>
  <si>
    <t xml:space="preserve"> COM. DE DOUGOUTENE II           </t>
  </si>
  <si>
    <t xml:space="preserve"> COM. DE KASSA                   </t>
  </si>
  <si>
    <t xml:space="preserve"> COM. DE KOPORO PEN              </t>
  </si>
  <si>
    <t xml:space="preserve"> COM. DE KOPOROKENDIE NA         </t>
  </si>
  <si>
    <t xml:space="preserve"> COM. DE KORO                    </t>
  </si>
  <si>
    <t xml:space="preserve"> COM. DE MADOUGOU                </t>
  </si>
  <si>
    <t xml:space="preserve"> COM. DE PEL MAOUDE              </t>
  </si>
  <si>
    <t xml:space="preserve"> COM. DE YORO                    </t>
  </si>
  <si>
    <t xml:space="preserve"> COM. DE YOUDIOU                 </t>
  </si>
  <si>
    <t xml:space="preserve"> COM. DE DIAFARABE               </t>
  </si>
  <si>
    <t xml:space="preserve"> COM. DE DIAKHA                  </t>
  </si>
  <si>
    <t xml:space="preserve"> COM. DE DIONDORI                </t>
  </si>
  <si>
    <t xml:space="preserve"> COM. DE KARERI                  </t>
  </si>
  <si>
    <t xml:space="preserve"> COM. DE OURO ARDO               </t>
  </si>
  <si>
    <t xml:space="preserve"> COM. DE OURO GUIRE              </t>
  </si>
  <si>
    <t xml:space="preserve"> COM. DE SOUGOULBE               </t>
  </si>
  <si>
    <t xml:space="preserve"> COM. DE TOGORO KOTIA            </t>
  </si>
  <si>
    <t xml:space="preserve"> COM. DE TOGUERE COUMBE          </t>
  </si>
  <si>
    <t xml:space="preserve"> COM. DE TENENKOU                </t>
  </si>
  <si>
    <t xml:space="preserve"> COM. DE BIMBERE TAMA            </t>
  </si>
  <si>
    <t xml:space="preserve"> COM. DE DEBOYE                  </t>
  </si>
  <si>
    <t xml:space="preserve"> COM. DE DIRMA                   </t>
  </si>
  <si>
    <t xml:space="preserve"> COM. DE DONGO                   </t>
  </si>
  <si>
    <t xml:space="preserve"> COM. DE FARIMAKE                </t>
  </si>
  <si>
    <t xml:space="preserve"> COM. DE N'DODJIGA               </t>
  </si>
  <si>
    <t xml:space="preserve"> COM. DE YOUWAROU                </t>
  </si>
  <si>
    <t xml:space="preserve"> COM. DE ALAFIA                  </t>
  </si>
  <si>
    <t xml:space="preserve"> COM. DE  BER                    </t>
  </si>
  <si>
    <t xml:space="preserve"> COM. DE  BOUREM INALY           </t>
  </si>
  <si>
    <t xml:space="preserve"> COM. DE  LAFIA                  </t>
  </si>
  <si>
    <t xml:space="preserve"> COM. DE  SALAM                  </t>
  </si>
  <si>
    <t xml:space="preserve"> COM. DE TOMBOUCTOU              </t>
  </si>
  <si>
    <t xml:space="preserve"> COM. DE ARHAM                  </t>
  </si>
  <si>
    <t xml:space="preserve"> COM. DE BINGA                   </t>
  </si>
  <si>
    <t xml:space="preserve"> COM. DE  BOUREM SIDI AMAR       </t>
  </si>
  <si>
    <t xml:space="preserve"> COM. DE  DANGHA                 </t>
  </si>
  <si>
    <t xml:space="preserve"> COM. DE GARBAKOIRA              </t>
  </si>
  <si>
    <t xml:space="preserve"> COM. DE HAIBONGO                </t>
  </si>
  <si>
    <t xml:space="preserve"> COM. DE KIRCHAMBA               </t>
  </si>
  <si>
    <t xml:space="preserve"> COM. DE KONDI                   </t>
  </si>
  <si>
    <t xml:space="preserve"> COM. DE SAREYAMOU               </t>
  </si>
  <si>
    <t xml:space="preserve"> COM. DE TIENKOUR                </t>
  </si>
  <si>
    <t xml:space="preserve"> COM. DE TINDIRMA                </t>
  </si>
  <si>
    <t xml:space="preserve"> COM. DE TINGUEREGUIF            </t>
  </si>
  <si>
    <t xml:space="preserve"> COM. DE DIRE                    </t>
  </si>
  <si>
    <t xml:space="preserve"> COM. DE ADARMALANE              </t>
  </si>
  <si>
    <t xml:space="preserve"> COM. DE ALZOUNOUB               </t>
  </si>
  <si>
    <t xml:space="preserve"> COM. DE BINTAGOUNGOU            </t>
  </si>
  <si>
    <t xml:space="preserve"> COM. DE DOUEKIRE                </t>
  </si>
  <si>
    <t xml:space="preserve"> COM. DE DOUKOURIA               </t>
  </si>
  <si>
    <t xml:space="preserve"> COM. DE ESSAKANE                </t>
  </si>
  <si>
    <t xml:space="preserve"> COM. DE GARGANDO                </t>
  </si>
  <si>
    <t xml:space="preserve"> COM. DE ISSA BERY               </t>
  </si>
  <si>
    <t xml:space="preserve"> COM. DE  KANEYE                 </t>
  </si>
  <si>
    <t xml:space="preserve"> COM. DE M'BOUNA                 </t>
  </si>
  <si>
    <t xml:space="preserve"> COM. DE RAZELMA                 </t>
  </si>
  <si>
    <t xml:space="preserve"> COM. DE TELE                    </t>
  </si>
  <si>
    <t xml:space="preserve"> COM. DE TILEMSI                 </t>
  </si>
  <si>
    <t xml:space="preserve"> COM. DE TIN AICHA               </t>
  </si>
  <si>
    <t xml:space="preserve"> COM. DE TONKA                   </t>
  </si>
  <si>
    <t xml:space="preserve"> COM. DE GOUNDAM                 </t>
  </si>
  <si>
    <t xml:space="preserve"> COM. DE BAMBARA MAOUNDE          </t>
  </si>
  <si>
    <t xml:space="preserve"> COM. DE BANICANE                </t>
  </si>
  <si>
    <t xml:space="preserve"> COM. DE GOSSI                   </t>
  </si>
  <si>
    <t xml:space="preserve"> COM. DE HAMZAKOMA               </t>
  </si>
  <si>
    <t xml:space="preserve"> COM. DE  HARIBOMO               </t>
  </si>
  <si>
    <t xml:space="preserve"> COM. DE INADIATAFANE            </t>
  </si>
  <si>
    <t xml:space="preserve"> COM. DE  OUINERDEN              </t>
  </si>
  <si>
    <t xml:space="preserve"> COM. DE RHAROUS                 </t>
  </si>
  <si>
    <t xml:space="preserve"> COM. DE SERERE                  </t>
  </si>
  <si>
    <t xml:space="preserve"> COM. DE BANIKANE NARHAWA        </t>
  </si>
  <si>
    <t xml:space="preserve"> COM. DE DIANKE                  </t>
  </si>
  <si>
    <t xml:space="preserve"> COM. DE FITTOUGA                </t>
  </si>
  <si>
    <t xml:space="preserve"> COM. DE KOUMAIRA                </t>
  </si>
  <si>
    <t xml:space="preserve"> COM. DE LERE                    </t>
  </si>
  <si>
    <t xml:space="preserve"> COM. DE N'GORKOU                </t>
  </si>
  <si>
    <t xml:space="preserve"> COM. DE SOBOUNDOU               </t>
  </si>
  <si>
    <t xml:space="preserve"> COM. DE SOUMPI                  </t>
  </si>
  <si>
    <t xml:space="preserve"> COM. DE ANCHAWADI               </t>
  </si>
  <si>
    <t xml:space="preserve"> COM. DE GABERO                  </t>
  </si>
  <si>
    <t xml:space="preserve"> COM. DE GOUNZOUREYE             </t>
  </si>
  <si>
    <t xml:space="preserve"> COM. DE N'TILLIT                </t>
  </si>
  <si>
    <t xml:space="preserve"> COM. DE SONY ALIBER             </t>
  </si>
  <si>
    <t xml:space="preserve"> COM. DE GAO                     </t>
  </si>
  <si>
    <t xml:space="preserve"> COM. DE ANSONGO                 </t>
  </si>
  <si>
    <t xml:space="preserve"> COM. DE BARA                    </t>
  </si>
  <si>
    <t xml:space="preserve"> COM. DE BOURRA                  </t>
  </si>
  <si>
    <t xml:space="preserve"> COM. DE OUATTAGOUNA             </t>
  </si>
  <si>
    <t xml:space="preserve"> COM. DE TALATAYE                </t>
  </si>
  <si>
    <t xml:space="preserve"> COM. DE TESSIT                  </t>
  </si>
  <si>
    <t xml:space="preserve"> COM. DE TIN HAMA                </t>
  </si>
  <si>
    <t xml:space="preserve"> COM. DE TABOYE                  </t>
  </si>
  <si>
    <t xml:space="preserve"> COM. DE TARKINT                 </t>
  </si>
  <si>
    <t xml:space="preserve"> COM. DE TEMERA                  </t>
  </si>
  <si>
    <t xml:space="preserve"> COM. DE BOUREM                  </t>
  </si>
  <si>
    <t xml:space="preserve"> COM. DE ANDERAMBOUKANE          </t>
  </si>
  <si>
    <t xml:space="preserve"> COM. DE INEKAR                  </t>
  </si>
  <si>
    <t xml:space="preserve"> COM. DE MENAKA                  </t>
  </si>
  <si>
    <t xml:space="preserve"> COM. DE TIDERMENE               </t>
  </si>
  <si>
    <t xml:space="preserve"> COM. DE ALATA               </t>
  </si>
  <si>
    <t xml:space="preserve"> COM. DE ANEFIF                  </t>
  </si>
  <si>
    <t xml:space="preserve"> COM. DE ESSOUK                  </t>
  </si>
  <si>
    <t xml:space="preserve"> COM. DE KIDAL                   </t>
  </si>
  <si>
    <t xml:space="preserve"> COM. DE ABEIBARA                </t>
  </si>
  <si>
    <t xml:space="preserve"> COM. DE BOGHASSA                </t>
  </si>
  <si>
    <t xml:space="preserve"> COM. DE  TINZAWATENE            </t>
  </si>
  <si>
    <t xml:space="preserve"> COM. DE ADJELHOC                </t>
  </si>
  <si>
    <t xml:space="preserve"> COM. DE TESSALIT                </t>
  </si>
  <si>
    <t xml:space="preserve"> COM. DE TIMTAGHENE              </t>
  </si>
  <si>
    <t xml:space="preserve"> COM. DE TIN ESSAKO              </t>
  </si>
  <si>
    <t xml:space="preserve"> COM. DE INTEDJEDITE           </t>
  </si>
  <si>
    <t xml:space="preserve"> Région de Bamako</t>
  </si>
  <si>
    <t xml:space="preserve"> Région de Kayes</t>
  </si>
  <si>
    <t xml:space="preserve"> Région de Sikasso</t>
  </si>
  <si>
    <t xml:space="preserve"> Région de Ségou</t>
  </si>
  <si>
    <t xml:space="preserve"> Région de Tombouctou</t>
  </si>
  <si>
    <t xml:space="preserve"> Région de Gao</t>
  </si>
  <si>
    <t xml:space="preserve"> Région de Kidal</t>
  </si>
  <si>
    <t>211.03</t>
  </si>
  <si>
    <t>211.04</t>
  </si>
  <si>
    <t>111.03</t>
  </si>
  <si>
    <t>111.04</t>
  </si>
  <si>
    <t>111.05</t>
  </si>
  <si>
    <t>111.06</t>
  </si>
  <si>
    <t>211.10</t>
  </si>
  <si>
    <t>211.11</t>
  </si>
  <si>
    <t>211.12</t>
  </si>
  <si>
    <t>211.13</t>
  </si>
  <si>
    <t>211.14</t>
  </si>
  <si>
    <t>211.15</t>
  </si>
  <si>
    <t>211.16</t>
  </si>
  <si>
    <t>211.17</t>
  </si>
  <si>
    <t>211.18</t>
  </si>
  <si>
    <t>211.19</t>
  </si>
  <si>
    <t>211.20</t>
  </si>
  <si>
    <t>211.21</t>
  </si>
  <si>
    <t>211.22</t>
  </si>
  <si>
    <t>211.23</t>
  </si>
  <si>
    <t>211.24</t>
  </si>
  <si>
    <t>211.25</t>
  </si>
  <si>
    <t>211.26</t>
  </si>
  <si>
    <t>211.27</t>
  </si>
  <si>
    <t>211.28</t>
  </si>
  <si>
    <t>212.10</t>
  </si>
  <si>
    <t>212.11</t>
  </si>
  <si>
    <t>212.12</t>
  </si>
  <si>
    <t>212.13</t>
  </si>
  <si>
    <t>213.10</t>
  </si>
  <si>
    <t>213.11</t>
  </si>
  <si>
    <t>213.13</t>
  </si>
  <si>
    <t>213.12</t>
  </si>
  <si>
    <t>213.14</t>
  </si>
  <si>
    <t>213.15</t>
  </si>
  <si>
    <t>214.10</t>
  </si>
  <si>
    <t>214.11</t>
  </si>
  <si>
    <t>214.12</t>
  </si>
  <si>
    <t>215.10</t>
  </si>
  <si>
    <t>215.11</t>
  </si>
  <si>
    <t>215.12</t>
  </si>
  <si>
    <t>215.13</t>
  </si>
  <si>
    <t>215.14</t>
  </si>
  <si>
    <t>215.15</t>
  </si>
  <si>
    <t>215.16</t>
  </si>
  <si>
    <t>215.17</t>
  </si>
  <si>
    <t>215.18</t>
  </si>
  <si>
    <t>215.19</t>
  </si>
  <si>
    <t>215.20</t>
  </si>
  <si>
    <t>215.21</t>
  </si>
  <si>
    <t>215.22</t>
  </si>
  <si>
    <t>215.23</t>
  </si>
  <si>
    <t>215.24</t>
  </si>
  <si>
    <t>215.25</t>
  </si>
  <si>
    <t>215.26</t>
  </si>
  <si>
    <t>215.27</t>
  </si>
  <si>
    <t>215.28</t>
  </si>
  <si>
    <t>215.29</t>
  </si>
  <si>
    <t>215.30</t>
  </si>
  <si>
    <t>215.31</t>
  </si>
  <si>
    <t>215.32</t>
  </si>
  <si>
    <t>215.33</t>
  </si>
  <si>
    <t>216.10</t>
  </si>
  <si>
    <t>216.11</t>
  </si>
  <si>
    <t>216.12</t>
  </si>
  <si>
    <t>216.13</t>
  </si>
  <si>
    <t>216.14</t>
  </si>
  <si>
    <t>216.15</t>
  </si>
  <si>
    <t>216.16</t>
  </si>
  <si>
    <t>217.10</t>
  </si>
  <si>
    <t>217.11</t>
  </si>
  <si>
    <t>217.12</t>
  </si>
  <si>
    <t xml:space="preserve"> District de Bamako</t>
  </si>
  <si>
    <t xml:space="preserve"> Cercle de KAYES</t>
  </si>
  <si>
    <t xml:space="preserve"> Cercle de BAFOULABE</t>
  </si>
  <si>
    <t xml:space="preserve"> Cercle de DIEMA</t>
  </si>
  <si>
    <t xml:space="preserve"> Cercle de KENIEBA</t>
  </si>
  <si>
    <t xml:space="preserve"> Cercle de KITA </t>
  </si>
  <si>
    <t xml:space="preserve"> Cercle de NIORO</t>
  </si>
  <si>
    <t xml:space="preserve"> Cercle de YELIMANE</t>
  </si>
  <si>
    <t xml:space="preserve"> Cercle de BANAMBA</t>
  </si>
  <si>
    <t xml:space="preserve"> Cercle de DIOILA</t>
  </si>
  <si>
    <t xml:space="preserve"> Cercle de KANGABA</t>
  </si>
  <si>
    <t xml:space="preserve"> Cercle de KATI</t>
  </si>
  <si>
    <t xml:space="preserve"> Cercle de KOLOKANI</t>
  </si>
  <si>
    <t xml:space="preserve"> Cercle de NARA</t>
  </si>
  <si>
    <t xml:space="preserve"> Cercle de BOUGOUNI</t>
  </si>
  <si>
    <t xml:space="preserve"> Cercle de KADIOLO</t>
  </si>
  <si>
    <t xml:space="preserve"> Cercle de KOLONDIEBA</t>
  </si>
  <si>
    <t xml:space="preserve"> Cercle de KOUTIALA</t>
  </si>
  <si>
    <t xml:space="preserve"> Cercle de YANFOLILA</t>
  </si>
  <si>
    <t xml:space="preserve"> Cercle de YOROSSO</t>
  </si>
  <si>
    <t xml:space="preserve"> Cercle de BARAOUELI</t>
  </si>
  <si>
    <t xml:space="preserve"> Cercle de BLA</t>
  </si>
  <si>
    <t xml:space="preserve"> Cercle de MACINA</t>
  </si>
  <si>
    <t xml:space="preserve"> Cercle de NIONO</t>
  </si>
  <si>
    <t xml:space="preserve"> Cercle de SAN</t>
  </si>
  <si>
    <t xml:space="preserve"> Cercle de BANKASS</t>
  </si>
  <si>
    <t xml:space="preserve"> Cercle de KORO</t>
  </si>
  <si>
    <t xml:space="preserve"> Cercle de TENENKOU</t>
  </si>
  <si>
    <t xml:space="preserve"> Cercle de  TOMINIAN</t>
  </si>
  <si>
    <t xml:space="preserve"> Cercle de  BANDIAGARA</t>
  </si>
  <si>
    <t xml:space="preserve"> Cercle de  DJENNE</t>
  </si>
  <si>
    <t xml:space="preserve"> Cercle de  DOUENTZA</t>
  </si>
  <si>
    <t xml:space="preserve"> Cercle de YOUWAROU</t>
  </si>
  <si>
    <t xml:space="preserve"> Cercle de DIRE</t>
  </si>
  <si>
    <t xml:space="preserve"> Cercle de GOUNDAM</t>
  </si>
  <si>
    <t xml:space="preserve"> Cercle de ANSONGO</t>
  </si>
  <si>
    <t xml:space="preserve"> Cercle de BOUREM</t>
  </si>
  <si>
    <t xml:space="preserve"> Cercle de MENAKA</t>
  </si>
  <si>
    <t xml:space="preserve"> Cercle de ABEIBARA</t>
  </si>
  <si>
    <t xml:space="preserve"> Cercle de KOULIKORO</t>
  </si>
  <si>
    <t>313.10</t>
  </si>
  <si>
    <t>313.11</t>
  </si>
  <si>
    <t>313.12</t>
  </si>
  <si>
    <t>313.13</t>
  </si>
  <si>
    <t>313.14</t>
  </si>
  <si>
    <t>313.15</t>
  </si>
  <si>
    <t>313.16</t>
  </si>
  <si>
    <t>313.17</t>
  </si>
  <si>
    <t>313.18</t>
  </si>
  <si>
    <t>313.19</t>
  </si>
  <si>
    <t>313.20</t>
  </si>
  <si>
    <t>313.21</t>
  </si>
  <si>
    <t>313.22</t>
  </si>
  <si>
    <t>313.23</t>
  </si>
  <si>
    <t>211.05</t>
  </si>
  <si>
    <t>211.06</t>
  </si>
  <si>
    <t>211.07</t>
  </si>
  <si>
    <t>211.08</t>
  </si>
  <si>
    <t>211.09</t>
  </si>
  <si>
    <t>212.03</t>
  </si>
  <si>
    <t>212.04</t>
  </si>
  <si>
    <t>212.05</t>
  </si>
  <si>
    <t>212.06</t>
  </si>
  <si>
    <t>212.07</t>
  </si>
  <si>
    <t>212.08</t>
  </si>
  <si>
    <t>212.09</t>
  </si>
  <si>
    <t>213.01</t>
  </si>
  <si>
    <t>213.02</t>
  </si>
  <si>
    <t>213.03</t>
  </si>
  <si>
    <t>213.04</t>
  </si>
  <si>
    <t>213.05</t>
  </si>
  <si>
    <t>213.06</t>
  </si>
  <si>
    <t>213.07</t>
  </si>
  <si>
    <t>213.08</t>
  </si>
  <si>
    <t>213.09</t>
  </si>
  <si>
    <t>214.01</t>
  </si>
  <si>
    <t>214.02</t>
  </si>
  <si>
    <t>214.03</t>
  </si>
  <si>
    <t>214.04</t>
  </si>
  <si>
    <t>214.05</t>
  </si>
  <si>
    <t>214.06</t>
  </si>
  <si>
    <t>214.07</t>
  </si>
  <si>
    <t>214.08</t>
  </si>
  <si>
    <t>214.09</t>
  </si>
  <si>
    <t>215.01</t>
  </si>
  <si>
    <t>215.02</t>
  </si>
  <si>
    <t>215.03</t>
  </si>
  <si>
    <t>215.04</t>
  </si>
  <si>
    <t>215.05</t>
  </si>
  <si>
    <t>215.06</t>
  </si>
  <si>
    <t>215.07</t>
  </si>
  <si>
    <t>215.08</t>
  </si>
  <si>
    <t>215.09</t>
  </si>
  <si>
    <t>216.01</t>
  </si>
  <si>
    <t>216.02</t>
  </si>
  <si>
    <t>216.03</t>
  </si>
  <si>
    <t>216.04</t>
  </si>
  <si>
    <t>216.05</t>
  </si>
  <si>
    <t>216.06</t>
  </si>
  <si>
    <t>216.07</t>
  </si>
  <si>
    <t>216.08</t>
  </si>
  <si>
    <t>216.09</t>
  </si>
  <si>
    <t>217.01</t>
  </si>
  <si>
    <t>217.02</t>
  </si>
  <si>
    <t>217.03</t>
  </si>
  <si>
    <t>217.04</t>
  </si>
  <si>
    <t>217.05</t>
  </si>
  <si>
    <t>217.06</t>
  </si>
  <si>
    <t>217.07</t>
  </si>
  <si>
    <t>217.08</t>
  </si>
  <si>
    <t>217.09</t>
  </si>
  <si>
    <t>311.01</t>
  </si>
  <si>
    <t>311.02</t>
  </si>
  <si>
    <t>311.03</t>
  </si>
  <si>
    <t>311.04</t>
  </si>
  <si>
    <t>311.05</t>
  </si>
  <si>
    <t>311.06</t>
  </si>
  <si>
    <t>311.07</t>
  </si>
  <si>
    <t>311.08</t>
  </si>
  <si>
    <t>311.09</t>
  </si>
  <si>
    <t>312.01</t>
  </si>
  <si>
    <t>312.02</t>
  </si>
  <si>
    <t>312.03</t>
  </si>
  <si>
    <t>312.04</t>
  </si>
  <si>
    <t>312.05</t>
  </si>
  <si>
    <t>312.06</t>
  </si>
  <si>
    <t>312.07</t>
  </si>
  <si>
    <t>312.08</t>
  </si>
  <si>
    <t>312.09</t>
  </si>
  <si>
    <t>313.01</t>
  </si>
  <si>
    <t>313.02</t>
  </si>
  <si>
    <t>313.03</t>
  </si>
  <si>
    <t>313.04</t>
  </si>
  <si>
    <t>313.05</t>
  </si>
  <si>
    <t>313.06</t>
  </si>
  <si>
    <t>313.07</t>
  </si>
  <si>
    <t>313.08</t>
  </si>
  <si>
    <t>313.09</t>
  </si>
  <si>
    <t>314.01</t>
  </si>
  <si>
    <t>314.02</t>
  </si>
  <si>
    <t>314.03</t>
  </si>
  <si>
    <t>314.04</t>
  </si>
  <si>
    <t>314.05</t>
  </si>
  <si>
    <t>314.06</t>
  </si>
  <si>
    <t>314.07</t>
  </si>
  <si>
    <t>314.08</t>
  </si>
  <si>
    <t>314.09</t>
  </si>
  <si>
    <t>315.01</t>
  </si>
  <si>
    <t>315.02</t>
  </si>
  <si>
    <t>315.03</t>
  </si>
  <si>
    <t>315.04</t>
  </si>
  <si>
    <t>315.05</t>
  </si>
  <si>
    <t>315.06</t>
  </si>
  <si>
    <t>315.07</t>
  </si>
  <si>
    <t>315.08</t>
  </si>
  <si>
    <t>315.09</t>
  </si>
  <si>
    <t>315.10</t>
  </si>
  <si>
    <t>315.11</t>
  </si>
  <si>
    <t>315.12</t>
  </si>
  <si>
    <t>315.13</t>
  </si>
  <si>
    <t>315.14</t>
  </si>
  <si>
    <t>315.15</t>
  </si>
  <si>
    <t>315.16</t>
  </si>
  <si>
    <t>315.17</t>
  </si>
  <si>
    <t>315.18</t>
  </si>
  <si>
    <t>315.19</t>
  </si>
  <si>
    <t>315.20</t>
  </si>
  <si>
    <t>315.21</t>
  </si>
  <si>
    <t>315.22</t>
  </si>
  <si>
    <t>315.23</t>
  </si>
  <si>
    <t>315.24</t>
  </si>
  <si>
    <t>315.25</t>
  </si>
  <si>
    <t>315.26</t>
  </si>
  <si>
    <t>315.27</t>
  </si>
  <si>
    <t>315.28</t>
  </si>
  <si>
    <t>315.29</t>
  </si>
  <si>
    <t>315.30</t>
  </si>
  <si>
    <t>315.31</t>
  </si>
  <si>
    <t>315.32</t>
  </si>
  <si>
    <t>315.33</t>
  </si>
  <si>
    <t>315.34</t>
  </si>
  <si>
    <t>315.35</t>
  </si>
  <si>
    <t>315.36</t>
  </si>
  <si>
    <t>315.37</t>
  </si>
  <si>
    <t>316.01</t>
  </si>
  <si>
    <t>316.02</t>
  </si>
  <si>
    <t>316.03</t>
  </si>
  <si>
    <t>316.04</t>
  </si>
  <si>
    <t>316.05</t>
  </si>
  <si>
    <t>316.06</t>
  </si>
  <si>
    <t>316.07</t>
  </si>
  <si>
    <t>316.08</t>
  </si>
  <si>
    <t>316.09</t>
  </si>
  <si>
    <t>316.10</t>
  </si>
  <si>
    <t>317.01</t>
  </si>
  <si>
    <t>317.02</t>
  </si>
  <si>
    <t>317.03</t>
  </si>
  <si>
    <t>317.04</t>
  </si>
  <si>
    <t>317.05</t>
  </si>
  <si>
    <t>317.06</t>
  </si>
  <si>
    <t>317.07</t>
  </si>
  <si>
    <t>317.08</t>
  </si>
  <si>
    <t>317.09</t>
  </si>
  <si>
    <t>317.10</t>
  </si>
  <si>
    <t>317.11</t>
  </si>
  <si>
    <t>411.01</t>
  </si>
  <si>
    <t>411.02</t>
  </si>
  <si>
    <t>411.03</t>
  </si>
  <si>
    <t>411.04</t>
  </si>
  <si>
    <t>411.05</t>
  </si>
  <si>
    <t>411.06</t>
  </si>
  <si>
    <t>411.07</t>
  </si>
  <si>
    <t>411.08</t>
  </si>
  <si>
    <t>411.09</t>
  </si>
  <si>
    <t>411.10</t>
  </si>
  <si>
    <t>411.11</t>
  </si>
  <si>
    <t>411.12</t>
  </si>
  <si>
    <t>411.13</t>
  </si>
  <si>
    <t>411.14</t>
  </si>
  <si>
    <t>411.15</t>
  </si>
  <si>
    <t>411.16</t>
  </si>
  <si>
    <t>411.17</t>
  </si>
  <si>
    <t>411.18</t>
  </si>
  <si>
    <t>411.19</t>
  </si>
  <si>
    <t>411.20</t>
  </si>
  <si>
    <t>411.21</t>
  </si>
  <si>
    <t>411.22</t>
  </si>
  <si>
    <t>411.23</t>
  </si>
  <si>
    <t>411.24</t>
  </si>
  <si>
    <t>411.25</t>
  </si>
  <si>
    <t>411.26</t>
  </si>
  <si>
    <t>411.27</t>
  </si>
  <si>
    <t>411.28</t>
  </si>
  <si>
    <t>411.29</t>
  </si>
  <si>
    <t>411.30</t>
  </si>
  <si>
    <t>411.31</t>
  </si>
  <si>
    <t>411.32</t>
  </si>
  <si>
    <t>411.33</t>
  </si>
  <si>
    <t>411.34</t>
  </si>
  <si>
    <t>411.35</t>
  </si>
  <si>
    <t>411.36</t>
  </si>
  <si>
    <t>411.37</t>
  </si>
  <si>
    <t>411.38</t>
  </si>
  <si>
    <t>411.39</t>
  </si>
  <si>
    <t>411.40</t>
  </si>
  <si>
    <t>411.41</t>
  </si>
  <si>
    <t>411.42</t>
  </si>
  <si>
    <t>411.43</t>
  </si>
  <si>
    <t>412.01</t>
  </si>
  <si>
    <t>412.02</t>
  </si>
  <si>
    <t>412.03</t>
  </si>
  <si>
    <t>412.04</t>
  </si>
  <si>
    <t>412.05</t>
  </si>
  <si>
    <t>412.06</t>
  </si>
  <si>
    <t>412.07</t>
  </si>
  <si>
    <t>412.08</t>
  </si>
  <si>
    <t>412.09</t>
  </si>
  <si>
    <t>412.10</t>
  </si>
  <si>
    <t>412.11</t>
  </si>
  <si>
    <t>412.12</t>
  </si>
  <si>
    <t>412.13</t>
  </si>
  <si>
    <t>412.14</t>
  </si>
  <si>
    <t>412.15</t>
  </si>
  <si>
    <t>412.16</t>
  </si>
  <si>
    <t>412.17</t>
  </si>
  <si>
    <t>412.18</t>
  </si>
  <si>
    <t>412.19</t>
  </si>
  <si>
    <t>412.20</t>
  </si>
  <si>
    <t>412.21</t>
  </si>
  <si>
    <t>412.22</t>
  </si>
  <si>
    <t>412.23</t>
  </si>
  <si>
    <t>412.24</t>
  </si>
  <si>
    <t>412.25</t>
  </si>
  <si>
    <t>412.26</t>
  </si>
  <si>
    <t>413.01</t>
  </si>
  <si>
    <t>413.02</t>
  </si>
  <si>
    <t>413.03</t>
  </si>
  <si>
    <t>413.04</t>
  </si>
  <si>
    <t>413.05</t>
  </si>
  <si>
    <t>413.06</t>
  </si>
  <si>
    <t>413.07</t>
  </si>
  <si>
    <t>413.08</t>
  </si>
  <si>
    <t>413.09</t>
  </si>
  <si>
    <t>414.01</t>
  </si>
  <si>
    <t>414.02</t>
  </si>
  <si>
    <t>414.03</t>
  </si>
  <si>
    <t>414.04</t>
  </si>
  <si>
    <t>414.05</t>
  </si>
  <si>
    <t>414.06</t>
  </si>
  <si>
    <t>414.07</t>
  </si>
  <si>
    <t>414.08</t>
  </si>
  <si>
    <t>414.09</t>
  </si>
  <si>
    <t>414.10</t>
  </si>
  <si>
    <t>414.11</t>
  </si>
  <si>
    <t>414.12</t>
  </si>
  <si>
    <t>415.02</t>
  </si>
  <si>
    <t>415.01</t>
  </si>
  <si>
    <t>415.03</t>
  </si>
  <si>
    <t>415.04</t>
  </si>
  <si>
    <t>415.05</t>
  </si>
  <si>
    <t>415.06</t>
  </si>
  <si>
    <t>415.07</t>
  </si>
  <si>
    <t>415.08</t>
  </si>
  <si>
    <t>415.09</t>
  </si>
  <si>
    <t>415.10</t>
  </si>
  <si>
    <t>415.11</t>
  </si>
  <si>
    <t>415.12</t>
  </si>
  <si>
    <t>415.13</t>
  </si>
  <si>
    <t>415.14</t>
  </si>
  <si>
    <t>415.15</t>
  </si>
  <si>
    <t>415.16</t>
  </si>
  <si>
    <t>415.17</t>
  </si>
  <si>
    <t>415.18</t>
  </si>
  <si>
    <t>415.19</t>
  </si>
  <si>
    <t>415.20</t>
  </si>
  <si>
    <t>415.21</t>
  </si>
  <si>
    <t>415.22</t>
  </si>
  <si>
    <t>415.23</t>
  </si>
  <si>
    <t>415.24</t>
  </si>
  <si>
    <t>415.25</t>
  </si>
  <si>
    <t>415.26</t>
  </si>
  <si>
    <t>415.27</t>
  </si>
  <si>
    <t>415.28</t>
  </si>
  <si>
    <t>415.29</t>
  </si>
  <si>
    <t>415.30</t>
  </si>
  <si>
    <t>415.31</t>
  </si>
  <si>
    <t>415.32</t>
  </si>
  <si>
    <t>415.33</t>
  </si>
  <si>
    <t>415.34</t>
  </si>
  <si>
    <t>415.35</t>
  </si>
  <si>
    <t>415.36</t>
  </si>
  <si>
    <t>416.01</t>
  </si>
  <si>
    <t>416.02</t>
  </si>
  <si>
    <t>416.03</t>
  </si>
  <si>
    <t>416.04</t>
  </si>
  <si>
    <t>416.05</t>
  </si>
  <si>
    <t>416.06</t>
  </si>
  <si>
    <t>416.07</t>
  </si>
  <si>
    <t>416.08</t>
  </si>
  <si>
    <t>416.09</t>
  </si>
  <si>
    <t>416.10</t>
  </si>
  <si>
    <t>416.11</t>
  </si>
  <si>
    <t>416.12</t>
  </si>
  <si>
    <t>417.01</t>
  </si>
  <si>
    <t>417.02</t>
  </si>
  <si>
    <t>417.03</t>
  </si>
  <si>
    <t>417.04</t>
  </si>
  <si>
    <t>417.05</t>
  </si>
  <si>
    <t>417.06</t>
  </si>
  <si>
    <t>417.07</t>
  </si>
  <si>
    <t>417.08</t>
  </si>
  <si>
    <t>417.09</t>
  </si>
  <si>
    <t>511.01</t>
  </si>
  <si>
    <t>511.02</t>
  </si>
  <si>
    <t>511.03</t>
  </si>
  <si>
    <t>511.04</t>
  </si>
  <si>
    <t>511.05</t>
  </si>
  <si>
    <t>511.06</t>
  </si>
  <si>
    <t>511.07</t>
  </si>
  <si>
    <t>511.08</t>
  </si>
  <si>
    <t>511.09</t>
  </si>
  <si>
    <t>511.10</t>
  </si>
  <si>
    <t>511.11</t>
  </si>
  <si>
    <t>511.12</t>
  </si>
  <si>
    <t>511.13</t>
  </si>
  <si>
    <t>511.14</t>
  </si>
  <si>
    <t>511.15</t>
  </si>
  <si>
    <t>511.16</t>
  </si>
  <si>
    <t>511.17</t>
  </si>
  <si>
    <t>511.18</t>
  </si>
  <si>
    <t>511.19</t>
  </si>
  <si>
    <t>511.20</t>
  </si>
  <si>
    <t>511.21</t>
  </si>
  <si>
    <t>511.22</t>
  </si>
  <si>
    <t>511.23</t>
  </si>
  <si>
    <t>511.24</t>
  </si>
  <si>
    <t>511.25</t>
  </si>
  <si>
    <t>511.26</t>
  </si>
  <si>
    <t>511.27</t>
  </si>
  <si>
    <t>511.28</t>
  </si>
  <si>
    <t>511.29</t>
  </si>
  <si>
    <t>511.30</t>
  </si>
  <si>
    <t>512.01</t>
  </si>
  <si>
    <t>512.02</t>
  </si>
  <si>
    <t>512.03</t>
  </si>
  <si>
    <t>512.04</t>
  </si>
  <si>
    <t>512.05</t>
  </si>
  <si>
    <t>512.06</t>
  </si>
  <si>
    <t>512.07</t>
  </si>
  <si>
    <t>512.08</t>
  </si>
  <si>
    <t>512.09</t>
  </si>
  <si>
    <t>512.10</t>
  </si>
  <si>
    <t>512.11</t>
  </si>
  <si>
    <t>513.01</t>
  </si>
  <si>
    <t>513.02</t>
  </si>
  <si>
    <t>513.03</t>
  </si>
  <si>
    <t>513.04</t>
  </si>
  <si>
    <t>513.05</t>
  </si>
  <si>
    <t>513.06</t>
  </si>
  <si>
    <t>513.07</t>
  </si>
  <si>
    <t>513.08</t>
  </si>
  <si>
    <t>513.09</t>
  </si>
  <si>
    <t>513.10</t>
  </si>
  <si>
    <t>513.11</t>
  </si>
  <si>
    <t>513.12</t>
  </si>
  <si>
    <t>513.13</t>
  </si>
  <si>
    <t>513.14</t>
  </si>
  <si>
    <t>513.15</t>
  </si>
  <si>
    <t>513.16</t>
  </si>
  <si>
    <t>513.17</t>
  </si>
  <si>
    <t>514.01</t>
  </si>
  <si>
    <t>514.02</t>
  </si>
  <si>
    <t>514.03</t>
  </si>
  <si>
    <t>514.04</t>
  </si>
  <si>
    <t>514.05</t>
  </si>
  <si>
    <t>514.06</t>
  </si>
  <si>
    <t>514.07</t>
  </si>
  <si>
    <t>514.08</t>
  </si>
  <si>
    <t>514.09</t>
  </si>
  <si>
    <t>514.10</t>
  </si>
  <si>
    <t>514.11</t>
  </si>
  <si>
    <t>515.01</t>
  </si>
  <si>
    <t>515.02</t>
  </si>
  <si>
    <t>515.03</t>
  </si>
  <si>
    <t>515.04</t>
  </si>
  <si>
    <t>515.05</t>
  </si>
  <si>
    <t>515.06</t>
  </si>
  <si>
    <t>515.07</t>
  </si>
  <si>
    <t>515.08</t>
  </si>
  <si>
    <t>515.09</t>
  </si>
  <si>
    <t>515.10</t>
  </si>
  <si>
    <t>515.11</t>
  </si>
  <si>
    <t>515.12</t>
  </si>
  <si>
    <t>516.01</t>
  </si>
  <si>
    <t>516.02</t>
  </si>
  <si>
    <t>516.03</t>
  </si>
  <si>
    <t>516.04</t>
  </si>
  <si>
    <t>516.05</t>
  </si>
  <si>
    <t>516.06</t>
  </si>
  <si>
    <t>516.07</t>
  </si>
  <si>
    <t>516.08</t>
  </si>
  <si>
    <t>516.09</t>
  </si>
  <si>
    <t>516.10</t>
  </si>
  <si>
    <t>516.11</t>
  </si>
  <si>
    <t>516.12</t>
  </si>
  <si>
    <t>516.13</t>
  </si>
  <si>
    <t>516.14</t>
  </si>
  <si>
    <t>516.15</t>
  </si>
  <si>
    <t>516.16</t>
  </si>
  <si>
    <t>516.17</t>
  </si>
  <si>
    <t>516.18</t>
  </si>
  <si>
    <t>516.19</t>
  </si>
  <si>
    <t>516.20</t>
  </si>
  <si>
    <t>516.21</t>
  </si>
  <si>
    <t>516.22</t>
  </si>
  <si>
    <t>516.23</t>
  </si>
  <si>
    <t>516.24</t>
  </si>
  <si>
    <t>516.25</t>
  </si>
  <si>
    <t>517.01</t>
  </si>
  <si>
    <t>517.02</t>
  </si>
  <si>
    <t>517.03</t>
  </si>
  <si>
    <t>517.04</t>
  </si>
  <si>
    <t>517.05</t>
  </si>
  <si>
    <t>517.06</t>
  </si>
  <si>
    <t>517.07</t>
  </si>
  <si>
    <t>517.08</t>
  </si>
  <si>
    <t>517.09</t>
  </si>
  <si>
    <t>517.10</t>
  </si>
  <si>
    <t>517.11</t>
  </si>
  <si>
    <t>517.12</t>
  </si>
  <si>
    <t xml:space="preserve"> COM. DE SEVARE</t>
  </si>
  <si>
    <t>611.01</t>
  </si>
  <si>
    <t>611.02</t>
  </si>
  <si>
    <t>611.03</t>
  </si>
  <si>
    <t>611.04</t>
  </si>
  <si>
    <t>611.05</t>
  </si>
  <si>
    <t>611.06</t>
  </si>
  <si>
    <t>611.07</t>
  </si>
  <si>
    <t>611.08</t>
  </si>
  <si>
    <t>611.09</t>
  </si>
  <si>
    <t>611.10</t>
  </si>
  <si>
    <t>611.11</t>
  </si>
  <si>
    <t>611.12</t>
  </si>
  <si>
    <t>611.13</t>
  </si>
  <si>
    <t>611.14</t>
  </si>
  <si>
    <t>611.15</t>
  </si>
  <si>
    <t>611.16</t>
  </si>
  <si>
    <t>612.01</t>
  </si>
  <si>
    <t>612.02</t>
  </si>
  <si>
    <t>612.03</t>
  </si>
  <si>
    <t>612.04</t>
  </si>
  <si>
    <t>612.05</t>
  </si>
  <si>
    <t>612.06</t>
  </si>
  <si>
    <t>612.07</t>
  </si>
  <si>
    <t>612.08</t>
  </si>
  <si>
    <t>612.09</t>
  </si>
  <si>
    <t>612.10</t>
  </si>
  <si>
    <t>612.11</t>
  </si>
  <si>
    <t>612.12</t>
  </si>
  <si>
    <t>612.13</t>
  </si>
  <si>
    <t>612.14</t>
  </si>
  <si>
    <t>612.15</t>
  </si>
  <si>
    <t>612.16</t>
  </si>
  <si>
    <t>612.17</t>
  </si>
  <si>
    <t>612.18</t>
  </si>
  <si>
    <t>612.19</t>
  </si>
  <si>
    <t>612.20</t>
  </si>
  <si>
    <t>612.21</t>
  </si>
  <si>
    <t>613.01</t>
  </si>
  <si>
    <t>613.02</t>
  </si>
  <si>
    <t>613.03</t>
  </si>
  <si>
    <t>613.04</t>
  </si>
  <si>
    <t>613.05</t>
  </si>
  <si>
    <t>613.06</t>
  </si>
  <si>
    <t>613.07</t>
  </si>
  <si>
    <t>613.08</t>
  </si>
  <si>
    <t>613.09</t>
  </si>
  <si>
    <t>613.10</t>
  </si>
  <si>
    <t>613.11</t>
  </si>
  <si>
    <t>613.12</t>
  </si>
  <si>
    <t>614.01</t>
  </si>
  <si>
    <t>614.02</t>
  </si>
  <si>
    <t>614.03</t>
  </si>
  <si>
    <t>614.04</t>
  </si>
  <si>
    <t>614.05</t>
  </si>
  <si>
    <t>614.06</t>
  </si>
  <si>
    <t>614.07</t>
  </si>
  <si>
    <t>614.08</t>
  </si>
  <si>
    <t>614.09</t>
  </si>
  <si>
    <t>614.10</t>
  </si>
  <si>
    <t>614.11</t>
  </si>
  <si>
    <t>614.12</t>
  </si>
  <si>
    <t>615.01</t>
  </si>
  <si>
    <t>615.02</t>
  </si>
  <si>
    <t>615.03</t>
  </si>
  <si>
    <t>615.04</t>
  </si>
  <si>
    <t>615.05</t>
  </si>
  <si>
    <t>615.06</t>
  </si>
  <si>
    <t>615.07</t>
  </si>
  <si>
    <t>615.08</t>
  </si>
  <si>
    <t>615.09</t>
  </si>
  <si>
    <t>615.10</t>
  </si>
  <si>
    <t>615.11</t>
  </si>
  <si>
    <t>615.12</t>
  </si>
  <si>
    <t>615.13</t>
  </si>
  <si>
    <t>615.14</t>
  </si>
  <si>
    <t>615.15</t>
  </si>
  <si>
    <t>616.01</t>
  </si>
  <si>
    <t>616.02</t>
  </si>
  <si>
    <t>616.03</t>
  </si>
  <si>
    <t>616.04</t>
  </si>
  <si>
    <t>616.05</t>
  </si>
  <si>
    <t>616.06</t>
  </si>
  <si>
    <t>616.07</t>
  </si>
  <si>
    <t>616.08</t>
  </si>
  <si>
    <t>616.09</t>
  </si>
  <si>
    <t>616.10</t>
  </si>
  <si>
    <t>616.11</t>
  </si>
  <si>
    <t>616.12</t>
  </si>
  <si>
    <t>616.13</t>
  </si>
  <si>
    <t>616.14</t>
  </si>
  <si>
    <t>616.15</t>
  </si>
  <si>
    <t>616.16</t>
  </si>
  <si>
    <t>617.01</t>
  </si>
  <si>
    <t>617.02</t>
  </si>
  <si>
    <t>617.03</t>
  </si>
  <si>
    <t>617.04</t>
  </si>
  <si>
    <t>617.05</t>
  </si>
  <si>
    <t>617.06</t>
  </si>
  <si>
    <t>617.07</t>
  </si>
  <si>
    <t>617.08</t>
  </si>
  <si>
    <t>617.09</t>
  </si>
  <si>
    <t>617.10</t>
  </si>
  <si>
    <t>618.01</t>
  </si>
  <si>
    <t>618.02</t>
  </si>
  <si>
    <t>618.03</t>
  </si>
  <si>
    <t>618.04</t>
  </si>
  <si>
    <t>618.05</t>
  </si>
  <si>
    <t>618.06</t>
  </si>
  <si>
    <t>618.07</t>
  </si>
  <si>
    <t xml:space="preserve"> Cercle de TOMBOUCTOU</t>
  </si>
  <si>
    <t xml:space="preserve"> Cercle de GOURMA RHAROUS</t>
  </si>
  <si>
    <t>711.01</t>
  </si>
  <si>
    <t>711.02</t>
  </si>
  <si>
    <t>711.03</t>
  </si>
  <si>
    <t>711.04</t>
  </si>
  <si>
    <t>711.05</t>
  </si>
  <si>
    <t>711.06</t>
  </si>
  <si>
    <t>712.01</t>
  </si>
  <si>
    <t>712.02</t>
  </si>
  <si>
    <t>712.03</t>
  </si>
  <si>
    <t>712.04</t>
  </si>
  <si>
    <t>712.05</t>
  </si>
  <si>
    <t>712.06</t>
  </si>
  <si>
    <t>712.07</t>
  </si>
  <si>
    <t>712.08</t>
  </si>
  <si>
    <t>712.09</t>
  </si>
  <si>
    <t>712.10</t>
  </si>
  <si>
    <t>712.11</t>
  </si>
  <si>
    <t>712.12</t>
  </si>
  <si>
    <t>712.13</t>
  </si>
  <si>
    <t>713.01</t>
  </si>
  <si>
    <t>713.02</t>
  </si>
  <si>
    <t>713.03</t>
  </si>
  <si>
    <t>713.04</t>
  </si>
  <si>
    <t>713.05</t>
  </si>
  <si>
    <t>713.06</t>
  </si>
  <si>
    <t>713.07</t>
  </si>
  <si>
    <t>713.08</t>
  </si>
  <si>
    <t>713.09</t>
  </si>
  <si>
    <t>713.10</t>
  </si>
  <si>
    <t>713.11</t>
  </si>
  <si>
    <t>713.12</t>
  </si>
  <si>
    <t>713.13</t>
  </si>
  <si>
    <t>713.14</t>
  </si>
  <si>
    <t>713.15</t>
  </si>
  <si>
    <t>713.16</t>
  </si>
  <si>
    <t>714.01</t>
  </si>
  <si>
    <t>714.02</t>
  </si>
  <si>
    <t>714.03</t>
  </si>
  <si>
    <t>714.04</t>
  </si>
  <si>
    <t>714.05</t>
  </si>
  <si>
    <t>714.06</t>
  </si>
  <si>
    <t>714.07</t>
  </si>
  <si>
    <t>714.08</t>
  </si>
  <si>
    <t>714.09</t>
  </si>
  <si>
    <t>715.01</t>
  </si>
  <si>
    <t>715.02</t>
  </si>
  <si>
    <t>715.03</t>
  </si>
  <si>
    <t>715.04</t>
  </si>
  <si>
    <t>715.05</t>
  </si>
  <si>
    <t>715.06</t>
  </si>
  <si>
    <t>715.07</t>
  </si>
  <si>
    <t>715.08</t>
  </si>
  <si>
    <t xml:space="preserve"> Cercle de GAO</t>
  </si>
  <si>
    <t>811.01</t>
  </si>
  <si>
    <t>811.02</t>
  </si>
  <si>
    <t>811.03</t>
  </si>
  <si>
    <t>811.04</t>
  </si>
  <si>
    <t>811.05</t>
  </si>
  <si>
    <t>811.06</t>
  </si>
  <si>
    <t>811.07</t>
  </si>
  <si>
    <t>812.01</t>
  </si>
  <si>
    <t>812.02</t>
  </si>
  <si>
    <t>812.03</t>
  </si>
  <si>
    <t>812.04</t>
  </si>
  <si>
    <t>812.05</t>
  </si>
  <si>
    <t>812.06</t>
  </si>
  <si>
    <t>812.07</t>
  </si>
  <si>
    <t>813.01</t>
  </si>
  <si>
    <t>813.02</t>
  </si>
  <si>
    <t>813.03</t>
  </si>
  <si>
    <t>813.04</t>
  </si>
  <si>
    <t>813.05</t>
  </si>
  <si>
    <t>814.01</t>
  </si>
  <si>
    <t>814.02</t>
  </si>
  <si>
    <t>814.03</t>
  </si>
  <si>
    <t>814.04</t>
  </si>
  <si>
    <t>814.05</t>
  </si>
  <si>
    <t xml:space="preserve"> Cercle de KIDAL</t>
  </si>
  <si>
    <t xml:space="preserve"> Cercle de TIN ESSAKO</t>
  </si>
  <si>
    <t>911.01</t>
  </si>
  <si>
    <t>911.02</t>
  </si>
  <si>
    <t>911.03</t>
  </si>
  <si>
    <t>912.01</t>
  </si>
  <si>
    <t>912.02</t>
  </si>
  <si>
    <t>912.03</t>
  </si>
  <si>
    <t>913.01</t>
  </si>
  <si>
    <t>913.02</t>
  </si>
  <si>
    <t>913.03</t>
  </si>
  <si>
    <t>914.01</t>
  </si>
  <si>
    <t>914.02</t>
  </si>
  <si>
    <t>Admin1 Region</t>
  </si>
  <si>
    <t>Admin1 P-Code</t>
  </si>
  <si>
    <t>Matelas</t>
  </si>
  <si>
    <t>Cordes</t>
  </si>
  <si>
    <t>Baches en rouleau</t>
  </si>
  <si>
    <t>Couvertures</t>
  </si>
  <si>
    <t>Nattes</t>
  </si>
  <si>
    <t>Lampes</t>
  </si>
  <si>
    <t>Kits cuisine</t>
  </si>
  <si>
    <t>Seaux</t>
  </si>
  <si>
    <t xml:space="preserve">Moustiquaires </t>
  </si>
  <si>
    <t>Outils de construction</t>
  </si>
  <si>
    <t>Remarks</t>
  </si>
  <si>
    <t>Pcode</t>
  </si>
  <si>
    <t xml:space="preserve"> Cercle de SIKASSO    </t>
  </si>
  <si>
    <t xml:space="preserve"> Cercle de SEGOU</t>
  </si>
  <si>
    <t xml:space="preserve"> Cercle de MOPTI</t>
  </si>
  <si>
    <t xml:space="preserve"> Cercle de NIAFUNKE</t>
  </si>
  <si>
    <t xml:space="preserve"> Cercle de TESSALIT</t>
  </si>
  <si>
    <t xml:space="preserve"> Région de Koulikoro</t>
  </si>
  <si>
    <t xml:space="preserve"> Région de  Mopti</t>
  </si>
  <si>
    <t>World Vision International</t>
  </si>
  <si>
    <t>World Relief Haiti</t>
  </si>
  <si>
    <t>World Concern</t>
  </si>
  <si>
    <t>WHO</t>
  </si>
  <si>
    <t>WFP</t>
  </si>
  <si>
    <t>Welthungerhilfe</t>
  </si>
  <si>
    <t>Venezuelian Army</t>
  </si>
  <si>
    <t>USAID/Thor Construction</t>
  </si>
  <si>
    <t>USAID/CEMEX</t>
  </si>
  <si>
    <t>USA Red Cross</t>
  </si>
  <si>
    <t>US Southern Command</t>
  </si>
  <si>
    <t>US Army</t>
  </si>
  <si>
    <t>UNOPS/Islamic Relief</t>
  </si>
  <si>
    <t>UNOPS/American Red Cross</t>
  </si>
  <si>
    <t>UNOPS</t>
  </si>
  <si>
    <t>UNICEF</t>
  </si>
  <si>
    <t>UNDP</t>
  </si>
  <si>
    <t>UMCOR</t>
  </si>
  <si>
    <t>UJDHRD</t>
  </si>
  <si>
    <t>TECHO</t>
  </si>
  <si>
    <t>TWP</t>
  </si>
  <si>
    <t>Terre des hommes</t>
  </si>
  <si>
    <t>TearFund</t>
  </si>
  <si>
    <t>SHELTER BOX</t>
  </si>
  <si>
    <t>Secours Islamique France</t>
  </si>
  <si>
    <t>Secours Catholique</t>
  </si>
  <si>
    <t>Save the Children</t>
  </si>
  <si>
    <t>SASH</t>
  </si>
  <si>
    <t>Samaritan's Purse</t>
  </si>
  <si>
    <t>Salvation Army</t>
  </si>
  <si>
    <t>Relief International</t>
  </si>
  <si>
    <t>Red Cross and Red Crescent Societies/ Swiss Red Cross</t>
  </si>
  <si>
    <t>Red Cross and Red Crescent Societies/ Spanish Red Cross/ Haitian Red Cross</t>
  </si>
  <si>
    <t>Red Cross and Red Crescent Societies/ Spanish Red Cross</t>
  </si>
  <si>
    <t>Red Cross and Red Crescent Societies/ Norwegian Red Cross</t>
  </si>
  <si>
    <t>Red Cross and Red Crescent Societies/ Netherlands Red Cross</t>
  </si>
  <si>
    <t>Red Cross and Red Crescent Societies/ Italian/ Haitian Red Cross</t>
  </si>
  <si>
    <t xml:space="preserve">Red Cross and Red Crescent Societies/ Haitian Red Cross </t>
  </si>
  <si>
    <t>Red Cross and Red Crescent Societies/ German Red cross/Austrian Red Cross</t>
  </si>
  <si>
    <t>Red Cross and Red Crescent Societies/ French Red Cross</t>
  </si>
  <si>
    <t>Red Cross and Red Crescent Societies/ Canadian Red Cross</t>
  </si>
  <si>
    <t>Red Cross and Red Crescent Societies/ British Red Cross</t>
  </si>
  <si>
    <t>Red Cross and Red Crescent Societies</t>
  </si>
  <si>
    <t>Project Concern</t>
  </si>
  <si>
    <t>Premiere Urgence</t>
  </si>
  <si>
    <t>Planète Urgence</t>
  </si>
  <si>
    <t>PIH</t>
  </si>
  <si>
    <t>Philippine National Red Cross</t>
  </si>
  <si>
    <t>People in Need</t>
  </si>
  <si>
    <t>Peace With Japan</t>
  </si>
  <si>
    <t>PADF/American Red Cross</t>
  </si>
  <si>
    <t>PADF</t>
  </si>
  <si>
    <t>PacBell</t>
  </si>
  <si>
    <t>Oxfam Quebec</t>
  </si>
  <si>
    <t>Oxfam Intermoun</t>
  </si>
  <si>
    <t>Oxfam GB</t>
  </si>
  <si>
    <t>Oxfam America</t>
  </si>
  <si>
    <t>OPREM-F</t>
  </si>
  <si>
    <t>Nippon International Cooperation</t>
  </si>
  <si>
    <t>MSF SWISS</t>
  </si>
  <si>
    <t>MSF SPAIN</t>
  </si>
  <si>
    <t>MSF FRANCE</t>
  </si>
  <si>
    <t>Morrell International Foundation</t>
  </si>
  <si>
    <t>MOFKA</t>
  </si>
  <si>
    <t>Mission of Hope Haiti</t>
  </si>
  <si>
    <t>Miripsud</t>
  </si>
  <si>
    <t>Mennonites MCC</t>
  </si>
  <si>
    <t xml:space="preserve">Mennonites </t>
  </si>
  <si>
    <t>Medair</t>
  </si>
  <si>
    <t>LWF</t>
  </si>
  <si>
    <t>JP/HRO</t>
  </si>
  <si>
    <t>Join the Journey</t>
  </si>
  <si>
    <t>IRD</t>
  </si>
  <si>
    <t>IOM/SASH</t>
  </si>
  <si>
    <t>IOM/OTI Project</t>
  </si>
  <si>
    <t>IOM</t>
  </si>
  <si>
    <t>IFRC</t>
  </si>
  <si>
    <t>IEDA Relief</t>
  </si>
  <si>
    <t>HELP-Hilfe zur Selbsthilfe e.V</t>
  </si>
  <si>
    <t>HelpAge</t>
  </si>
  <si>
    <t>HELP</t>
  </si>
  <si>
    <t>HEKS/EPER</t>
  </si>
  <si>
    <t>HAVEN/Plan</t>
  </si>
  <si>
    <t>HAVEN/OXFAM</t>
  </si>
  <si>
    <t>HAVEN/MCC</t>
  </si>
  <si>
    <t>HAVEN/Fonkoze</t>
  </si>
  <si>
    <t>HAVEN/JPHRO</t>
  </si>
  <si>
    <t>HAVEN/CONCERN</t>
  </si>
  <si>
    <t>HAVEN/American Red Cross</t>
  </si>
  <si>
    <t>HAVEN</t>
  </si>
  <si>
    <t>Handicap International/FDF</t>
  </si>
  <si>
    <t>Handicap International/American Red Cross</t>
  </si>
  <si>
    <t>Handicap International</t>
  </si>
  <si>
    <t>Habitat for Humanity / ERRF</t>
  </si>
  <si>
    <t>Habitat for Humanity / CRS</t>
  </si>
  <si>
    <t>Habitat for Humanity / CHF</t>
  </si>
  <si>
    <t>Habitat for Humanity / American Red Cross</t>
  </si>
  <si>
    <t>Habitat for Humanity / AABMC</t>
  </si>
  <si>
    <t>Habitat for Humanity</t>
  </si>
  <si>
    <t>GoH</t>
  </si>
  <si>
    <t>GOAL</t>
  </si>
  <si>
    <t>GIZ</t>
  </si>
  <si>
    <t>GAA/WHH</t>
  </si>
  <si>
    <t>Food for the poor</t>
  </si>
  <si>
    <t>Food for the Hungry</t>
  </si>
  <si>
    <t>FEMA</t>
  </si>
  <si>
    <t>Feed the Children</t>
  </si>
  <si>
    <t>FAO</t>
  </si>
  <si>
    <t>Fanm deside</t>
  </si>
  <si>
    <t>European Civil Protection Team</t>
  </si>
  <si>
    <t>Eglise Luthérienne</t>
  </si>
  <si>
    <t>Emergency Group</t>
  </si>
  <si>
    <t>ECHO</t>
  </si>
  <si>
    <t>Diakonie</t>
  </si>
  <si>
    <t>DFID</t>
  </si>
  <si>
    <t>Developpement et Paix/ITECA</t>
  </si>
  <si>
    <t>Danish People's Aid</t>
  </si>
  <si>
    <t>CRWRC</t>
  </si>
  <si>
    <t>CRS/Caritas</t>
  </si>
  <si>
    <t>CRS</t>
  </si>
  <si>
    <t>Cross International</t>
  </si>
  <si>
    <t>CROSE</t>
  </si>
  <si>
    <t>CordAid</t>
  </si>
  <si>
    <t>COOPI</t>
  </si>
  <si>
    <t>Concern Worlwide</t>
  </si>
  <si>
    <t>Christian AID</t>
  </si>
  <si>
    <t>CHF</t>
  </si>
  <si>
    <t>Church World Service</t>
  </si>
  <si>
    <t>CCCPC</t>
  </si>
  <si>
    <t>Caritas Swiss</t>
  </si>
  <si>
    <t>Caritas Austriche</t>
  </si>
  <si>
    <t>Caritas Allemagne</t>
  </si>
  <si>
    <t>Caritas</t>
  </si>
  <si>
    <t>CARE/Cordaid</t>
  </si>
  <si>
    <t>CARE</t>
  </si>
  <si>
    <t>Canadian Red Cross</t>
  </si>
  <si>
    <t>Build Change</t>
  </si>
  <si>
    <t>BRAC</t>
  </si>
  <si>
    <t>BID/FAES/Food for the Poor</t>
  </si>
  <si>
    <t>AVSI</t>
  </si>
  <si>
    <t>Asiacion de Immigrants</t>
  </si>
  <si>
    <t xml:space="preserve">ASF </t>
  </si>
  <si>
    <t>ASB</t>
  </si>
  <si>
    <t>Architecte Earthbag Shelters</t>
  </si>
  <si>
    <t>Architecte de l'Urgence</t>
  </si>
  <si>
    <t>ARC</t>
  </si>
  <si>
    <t>APY</t>
  </si>
  <si>
    <t>Aprodema</t>
  </si>
  <si>
    <t>AMURT</t>
  </si>
  <si>
    <t>American Rescue Com</t>
  </si>
  <si>
    <t>American Red Cross</t>
  </si>
  <si>
    <t>America Continental</t>
  </si>
  <si>
    <t>Amecom</t>
  </si>
  <si>
    <t>AFSC</t>
  </si>
  <si>
    <t>ADRA Intl USA</t>
  </si>
  <si>
    <t>ADRA Europe network</t>
  </si>
  <si>
    <t>Acts of Mercy</t>
  </si>
  <si>
    <t>ACTION aid</t>
  </si>
  <si>
    <t>ACTED/American Red Cross</t>
  </si>
  <si>
    <t>ACTED</t>
  </si>
  <si>
    <t>ACTDH</t>
  </si>
  <si>
    <t>ACT Alliance</t>
  </si>
  <si>
    <t>ACF</t>
  </si>
  <si>
    <t>ACDI</t>
  </si>
  <si>
    <t>PAM</t>
  </si>
  <si>
    <t>Other Agencies</t>
  </si>
  <si>
    <t>SOS Attitude</t>
  </si>
  <si>
    <t>M. Action Humanitaire</t>
  </si>
  <si>
    <t>IRC</t>
  </si>
  <si>
    <t>USAID</t>
  </si>
  <si>
    <t>DGPC</t>
  </si>
  <si>
    <t>OCHA</t>
  </si>
  <si>
    <t>UNHCR</t>
  </si>
  <si>
    <t>Plan Mali</t>
  </si>
  <si>
    <t>NRC</t>
  </si>
  <si>
    <t>MSF F</t>
  </si>
  <si>
    <t>Islamic relief</t>
  </si>
  <si>
    <t>Intersos</t>
  </si>
  <si>
    <t>DNPC Bamako</t>
  </si>
  <si>
    <t>DNPC</t>
  </si>
  <si>
    <t>CICR</t>
  </si>
  <si>
    <t>AVSF</t>
  </si>
  <si>
    <t>ALIMA</t>
  </si>
  <si>
    <t>CASH</t>
  </si>
  <si>
    <t>Activités</t>
  </si>
  <si>
    <t xml:space="preserve"> Date de début DD/MM/YY</t>
  </si>
  <si>
    <t xml:space="preserve"> Date de fin DD/MM/YY</t>
  </si>
  <si>
    <t>Décembre</t>
  </si>
  <si>
    <t>Mai</t>
  </si>
  <si>
    <t xml:space="preserve"> 30/01/2013</t>
  </si>
  <si>
    <t xml:space="preserve">Commune 3 et 4 </t>
  </si>
  <si>
    <t>211.29</t>
  </si>
  <si>
    <t xml:space="preserve"> COM. DE SOUMPOU   </t>
  </si>
  <si>
    <t xml:space="preserve"> COMMUNE 6      </t>
  </si>
  <si>
    <t xml:space="preserve"> COMMUNE 5</t>
  </si>
  <si>
    <t xml:space="preserve"> COMMUNE 4</t>
  </si>
  <si>
    <t xml:space="preserve"> COMMUNE 3</t>
  </si>
  <si>
    <t xml:space="preserve"> COMMUNE 2</t>
  </si>
  <si>
    <t xml:space="preserve"> COMMUNE  1</t>
  </si>
  <si>
    <t>Composition du kit de cuisine: 1 bassine, 1 grande tasse, 1 seau en plastique, 1 paquet de savon, 1 plateau, 1 louche, 6 gobelets, 6 cuillères, 1 couteau de cuisine, 2 marmites, 1 jerrican, 1 fourneau</t>
  </si>
  <si>
    <t>Composition du kit de cuisine: 2 Bidons 10 litres; 1 Marmite 7 kilos; 1 Tasse moyenne Inox; 3 Gobelets métalliques de 0.37 litre; 3 Cuillères métalliques; 1 Louche moyenne métallique; 1 Bouilloire plastique; 20 savons de ménage; 45 Aquatabs 67mg (plaquette de 10 comprimés)</t>
  </si>
  <si>
    <t>192 morceaux savon+192L eau de javel+192L Grézil</t>
  </si>
  <si>
    <t>715 MII+ eau de javel et grézil</t>
  </si>
  <si>
    <t>1200 MII+600 Seaux+3600 morceaux de savon+600pièces de six pagnes</t>
  </si>
  <si>
    <t>5916 MII</t>
  </si>
  <si>
    <t>SITE DE DISTRIBUTION  HCI  MOPTI</t>
  </si>
  <si>
    <t>SITE DE DISTRIBUTION  VILLAGE CAN SEVARE</t>
  </si>
  <si>
    <t>Banguitaba/Waillirde</t>
  </si>
  <si>
    <t>Mopti Action Mopti, Bamako coura, Village Can</t>
  </si>
  <si>
    <t>Banguitaba, Socoura, Tiaboli</t>
  </si>
  <si>
    <t>Bamako coura, Wallirde, village can</t>
  </si>
  <si>
    <t>Hotel Chauffeur</t>
  </si>
  <si>
    <t>Soufourlaye/DRS</t>
  </si>
  <si>
    <t>Village can, Bamako Coura</t>
  </si>
  <si>
    <t>Eleves deplaces DEF AE Mopti Douentza</t>
  </si>
  <si>
    <t>H chauffeur-HCI</t>
  </si>
  <si>
    <t>Appui Eleves Deplacés cours de Rattrapage</t>
  </si>
  <si>
    <t>Bamako coura-banguitaba-HCI-Village Innonde Mussawel</t>
  </si>
  <si>
    <t>Mopti HCI</t>
  </si>
  <si>
    <t>Banguitaba</t>
  </si>
  <si>
    <t xml:space="preserve">KIT CUISINE:  Marmites 7kgs, Tasses Inox, 3 Gobelets métaliques, 3 Cuillères métaliques,Louches métaliques, 20 Savons de ménage, Bouilloires, 90 PUR </t>
  </si>
  <si>
    <t>Composition de menages: 6,5 perspnnes. Composition du kit de cuisine: 2 marmites,4 cuilleres a soupe, 1 couteau, 1 louche, 2 tasses,  3 bidons de 10 litres</t>
  </si>
  <si>
    <t xml:space="preserve">Composition de menages: 6,5 perspnnes. Composition du kit de cuisine: 2 marmites,4 cuilleres a soupe, 1 couteau, 1 louche, 2 tasses,  </t>
  </si>
  <si>
    <t>Composition de menages: 6,5 perspnnes. Composition du kit de cuisine: 2 marmites,3 cuilleres a soupe, 1 couteau, 1 louche,  1 bidon de 10 litres</t>
  </si>
  <si>
    <t xml:space="preserve">NB: merci de bien vouloir envoyer vos données et mises à jour à Sambou Ascofaré, IM, cluster abris +223 75 51 01 90, mail: clusterabrimali.im@gmail.com </t>
  </si>
  <si>
    <t xml:space="preserve"> 02 marmites, 05 petites tasses, 05 assiettes, 05 cuillères, 05 fourchettes,  05 couteaux de table, 01 couteau de cuisine, 01 louche, 05 bols à café</t>
  </si>
  <si>
    <t>Composition d'un kit cuisine Croix rouge</t>
  </si>
  <si>
    <t>(4)  Baches 4mX5m = 364 Ballots de 5 unites</t>
  </si>
  <si>
    <t>(3) Articles en cours  d'approvisionnement: cordes, baches, marmites, tasses.</t>
  </si>
  <si>
    <t>NB: En plus de ces besoins, il faudra tenir compte des autres coûts tels la logistique et les coûts de transport de Bamako aux sites qui abriteront les bénéficiiares.</t>
  </si>
  <si>
    <t>TOTAL:</t>
  </si>
  <si>
    <t xml:space="preserve">(4) </t>
  </si>
  <si>
    <t>Quantité Certifiée</t>
  </si>
  <si>
    <t>Pipeline</t>
  </si>
  <si>
    <t>Stock</t>
  </si>
  <si>
    <t>Date DD/MM/YY</t>
  </si>
  <si>
    <t>Gobelets métaliques</t>
  </si>
  <si>
    <t>Bidons 10 litres</t>
  </si>
  <si>
    <t>Kit cuisine</t>
  </si>
  <si>
    <t>Moustiquaires</t>
  </si>
  <si>
    <t>Baches 4x50m</t>
  </si>
  <si>
    <t>Tentes</t>
  </si>
  <si>
    <t xml:space="preserve"> 1/06/12</t>
  </si>
  <si>
    <t xml:space="preserve"> 09/04/12</t>
  </si>
  <si>
    <t>Du 01/12 /2012</t>
  </si>
  <si>
    <t>Du 5 /11/2012</t>
  </si>
  <si>
    <t>Cibles</t>
  </si>
  <si>
    <t>Population générale</t>
  </si>
  <si>
    <t>Organisations</t>
  </si>
  <si>
    <t>Organisation</t>
  </si>
  <si>
    <t>Bidons 10litres</t>
  </si>
  <si>
    <t xml:space="preserve">Organisation multiple </t>
  </si>
  <si>
    <t>Partenaire de distribution</t>
  </si>
  <si>
    <t>Cooperation néelandaise</t>
  </si>
  <si>
    <t>Croix Rouge Danemark/Suisse</t>
  </si>
  <si>
    <t>Médecin du Monde Belgique</t>
  </si>
  <si>
    <t>Médecin du Monde France</t>
  </si>
  <si>
    <t>Cluster Abris &amp; non vivres 
Mali</t>
  </si>
  <si>
    <t>3W - NFI &amp; CASH DISTRIBUTIONS - MALI</t>
  </si>
  <si>
    <t>REGION</t>
  </si>
  <si>
    <t>CERCLE</t>
  </si>
  <si>
    <t>COMMUNE</t>
  </si>
  <si>
    <t>NFI</t>
  </si>
  <si>
    <t>PDI</t>
  </si>
  <si>
    <t>#  Familles</t>
  </si>
  <si>
    <t># Personnes</t>
  </si>
  <si>
    <t>Remarques/Commentaires</t>
  </si>
  <si>
    <t>Other agencies</t>
  </si>
  <si>
    <r>
      <rPr>
        <u/>
        <sz val="10"/>
        <rFont val="Calibri"/>
        <family val="2"/>
        <scheme val="minor"/>
      </rPr>
      <t xml:space="preserve">(2) </t>
    </r>
  </si>
  <si>
    <r>
      <rPr>
        <sz val="10"/>
        <color theme="1"/>
        <rFont val="Calibri"/>
        <family val="2"/>
        <scheme val="minor"/>
      </rPr>
      <t>(5)</t>
    </r>
    <r>
      <rPr>
        <b/>
        <sz val="10"/>
        <color theme="1"/>
        <rFont val="Calibri"/>
        <family val="2"/>
        <scheme val="minor"/>
      </rPr>
      <t xml:space="preserve"> Composition d'un kit abris (outils de construction) Croix rouge</t>
    </r>
  </si>
  <si>
    <t>Stock de contingence</t>
  </si>
  <si>
    <t xml:space="preserve">Baches 4x5m </t>
  </si>
  <si>
    <t xml:space="preserve">Tentes </t>
  </si>
  <si>
    <t xml:space="preserve">Baches 4m x 5m </t>
  </si>
  <si>
    <t>(1), (3)</t>
  </si>
  <si>
    <t>(5), (6)</t>
  </si>
  <si>
    <t>Région</t>
  </si>
  <si>
    <t>Baches en rouleau (4x50m)</t>
  </si>
  <si>
    <t>Row Labels</t>
  </si>
  <si>
    <t>(blank)</t>
  </si>
  <si>
    <t>Grand Total</t>
  </si>
  <si>
    <t xml:space="preserve">Sum of Tentes </t>
  </si>
  <si>
    <t>Values</t>
  </si>
  <si>
    <t>Sum of Couvertures</t>
  </si>
  <si>
    <t xml:space="preserve">Sum of Moustiquaires </t>
  </si>
  <si>
    <t>Sum of Seaux</t>
  </si>
  <si>
    <t>Sum of Bidons 10litres</t>
  </si>
  <si>
    <t>Sum of Kits cuisine</t>
  </si>
  <si>
    <t>Sum of Nattes</t>
  </si>
  <si>
    <t xml:space="preserve">Sum of Baches 4m x 5m </t>
  </si>
  <si>
    <t>Sum of Matelas</t>
  </si>
  <si>
    <t>Sum of # Personnes</t>
  </si>
  <si>
    <t>Sum of #  Familles</t>
  </si>
  <si>
    <t xml:space="preserve"> COM. de KOULIKORO</t>
  </si>
  <si>
    <t xml:space="preserve"> COM. de KATI</t>
  </si>
  <si>
    <t>GAP</t>
  </si>
  <si>
    <t>Population ciblée (générale/ PDI)</t>
  </si>
  <si>
    <r>
      <t>(2) IOM NFI kit Composition: Couverture polaire, Nattes 2 places, Bidons 10 litres, Marmites 7kgs, Tasses Inox, Gobelets méta</t>
    </r>
    <r>
      <rPr>
        <sz val="10"/>
        <color rgb="FFFF0000"/>
        <rFont val="Calibri"/>
        <family val="2"/>
        <scheme val="minor"/>
      </rPr>
      <t>l</t>
    </r>
    <r>
      <rPr>
        <sz val="10"/>
        <color theme="1"/>
        <rFont val="Calibri"/>
        <family val="2"/>
        <scheme val="minor"/>
      </rPr>
      <t>liques, Cuillères méta</t>
    </r>
    <r>
      <rPr>
        <sz val="10"/>
        <color rgb="FFFF0000"/>
        <rFont val="Calibri"/>
        <family val="2"/>
        <scheme val="minor"/>
      </rPr>
      <t>l</t>
    </r>
    <r>
      <rPr>
        <sz val="10"/>
        <color theme="1"/>
        <rFont val="Calibri"/>
        <family val="2"/>
        <scheme val="minor"/>
      </rPr>
      <t>liques,Louches méta</t>
    </r>
    <r>
      <rPr>
        <sz val="10"/>
        <color rgb="FFFF0000"/>
        <rFont val="Calibri"/>
        <family val="2"/>
        <scheme val="minor"/>
      </rPr>
      <t>l</t>
    </r>
    <r>
      <rPr>
        <sz val="10"/>
        <color theme="1"/>
        <rFont val="Calibri"/>
        <family val="2"/>
        <scheme val="minor"/>
      </rPr>
      <t>liques,Savons de ménage, Seaux, Bouilloires, moustiquaires imprégnées</t>
    </r>
  </si>
  <si>
    <t>1 pelle, 1 coupe-coupe, 1 marteau, 1 paquet de pointes à chapeau, 1 paquet de pointes ordinaires,  1 fil de fer de 2 m, 1 corde en nilon de 30 m, 1 scie, 1 cisaille, 1 decamètre, 1 houe</t>
  </si>
  <si>
    <t>(7)</t>
  </si>
  <si>
    <r>
      <t>(7) Partenaires de distribution:</t>
    </r>
    <r>
      <rPr>
        <b/>
        <sz val="10"/>
        <color theme="1"/>
        <rFont val="Calibri"/>
        <family val="2"/>
        <scheme val="minor"/>
      </rPr>
      <t xml:space="preserve"> Intersos</t>
    </r>
  </si>
  <si>
    <r>
      <t xml:space="preserve">(1) Partenaires de distribution: </t>
    </r>
    <r>
      <rPr>
        <b/>
        <sz val="10"/>
        <rFont val="Calibri"/>
        <family val="2"/>
        <scheme val="minor"/>
      </rPr>
      <t xml:space="preserve"> AVSF, MdM B, MSF F, ALIMA, CARE, DGPC, IRC</t>
    </r>
  </si>
  <si>
    <t xml:space="preserve">(6) Croix rouge malienne: Ces besoins sont évalués pour 1000 ménages sachant que nous devons tenir compte de la présence et de la synergie avec les autres intervenants.   </t>
  </si>
  <si>
    <t>Dernière mise à jour le 07/02/2013</t>
  </si>
  <si>
    <t>Dernière mise à jour le 30/01/2013</t>
  </si>
  <si>
    <t>AGENCE en charge  de la distribution</t>
  </si>
  <si>
    <t>AGENCE</t>
  </si>
  <si>
    <t>Période couverte par le rapport, du 07/04/212 au 30/01/2013</t>
  </si>
  <si>
    <t>Nombre de familles et personnes  bénéficiaires des distributions  (classification par commune)</t>
  </si>
  <si>
    <t>Organisme ayant fourni les NFIs</t>
  </si>
  <si>
    <t>Marmites 7 kilos</t>
  </si>
  <si>
    <t>Tasse moyenne Inox</t>
  </si>
  <si>
    <t>Gobelets metalliques de 0.37 litres</t>
  </si>
  <si>
    <t>Cuillere metallique</t>
  </si>
  <si>
    <t>Louche moyen metallique</t>
  </si>
  <si>
    <t>DESCRIPTION</t>
  </si>
  <si>
    <t>Module</t>
  </si>
  <si>
    <t>Qty/Kit</t>
  </si>
  <si>
    <t>Cuisine</t>
  </si>
  <si>
    <t>Composition Kits cuisine UNICEF et OIM</t>
  </si>
  <si>
    <t>Composition Kits cuisine CRS</t>
  </si>
  <si>
    <t>Composition Kits cuisine UNHCR</t>
  </si>
  <si>
    <t>Agence</t>
  </si>
  <si>
    <t xml:space="preserve"> Total</t>
  </si>
  <si>
    <t>%</t>
  </si>
  <si>
    <t xml:space="preserve"> %</t>
  </si>
  <si>
    <t>Sum of Cordes</t>
  </si>
  <si>
    <t>Sum of Baches en rouleau (4x50m)</t>
  </si>
  <si>
    <t xml:space="preserve">                        Dernière mise à jour le 30/01/2013     Période couverte par le rapport, du 07/04/212 au 30/01/2013</t>
  </si>
  <si>
    <t>Agences</t>
  </si>
  <si>
    <t>Total</t>
  </si>
  <si>
    <t>Quantités de NFI distribuées par région</t>
  </si>
  <si>
    <t>Quantités de NFI distribuées par agence</t>
  </si>
  <si>
    <t>Croix Rouge Malienne</t>
  </si>
  <si>
    <t>Croix Rouge Belge</t>
  </si>
  <si>
    <t xml:space="preserve"> # Personnes</t>
  </si>
  <si>
    <t xml:space="preserve"> #  Familles</t>
  </si>
  <si>
    <t>#</t>
  </si>
  <si>
    <t>CRM</t>
  </si>
  <si>
    <t>MdM B</t>
  </si>
  <si>
    <t>MdM F</t>
  </si>
  <si>
    <r>
      <t xml:space="preserve">POUR UN MENAGE PENDANT 6 MOIS (6 personnes par famille) </t>
    </r>
    <r>
      <rPr>
        <b/>
        <u/>
        <sz val="8"/>
        <rFont val="Calibri"/>
        <family val="2"/>
        <scheme val="minor"/>
      </rPr>
      <t>Composition du kit de cuisine:</t>
    </r>
    <r>
      <rPr>
        <sz val="8"/>
        <rFont val="Calibri"/>
        <family val="2"/>
        <scheme val="minor"/>
      </rPr>
      <t xml:space="preserve"> 2 Bidons 10 litres; 1 Marmite 7 kilos; 1 Tasse moyenne Inox; 3 Gobelets métalliques de 0.37 litre; 3 Cuillères métalliques; 1 Louche moyenne métallique; 1 Bouilloire plastique; 20 savons de ménage; 45 Aquatabs 67mg (plaquette de 10 comprimés)</t>
    </r>
  </si>
  <si>
    <t>Nombre de bénéficiaires par agence</t>
  </si>
  <si>
    <t xml:space="preserve"> # Familles recensées</t>
  </si>
  <si>
    <t># PDI Recensées</t>
  </si>
  <si>
    <t># PDI assistées</t>
  </si>
  <si>
    <t xml:space="preserve"> # Familles assistées</t>
  </si>
  <si>
    <t>-</t>
  </si>
  <si>
    <t xml:space="preserve">Bâches 4m x 5m </t>
  </si>
  <si>
    <t>Composition Kits cuisine ACTED</t>
  </si>
  <si>
    <t>Composition Kits cuisine Croix Rouge Malienne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</si>
</sst>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_-* #,##0.00\ _€_-;\-* #,##0.00\ _€_-;_-* &quot;-&quot;??\ _€_-;_-@_-"/>
    <numFmt numFmtId="165" formatCode="_-* #,##0.00_-;\-* #,##0.00_-;_-* &quot;-&quot;??_-;_-@_-"/>
    <numFmt numFmtId="166" formatCode="_(* #,##0.00_);_(* \(#,##0.00\);_(* &quot;-&quot;??_);_(@_)"/>
    <numFmt numFmtId="167" formatCode="[$-409]d/mmm/yyyy;@"/>
    <numFmt numFmtId="168" formatCode="[$-409]d\-mmm\-yyyy;@"/>
    <numFmt numFmtId="169" formatCode="_-* #,##0\ _€_-;\-* #,##0\ _€_-;_-* &quot;-&quot;??\ _€_-;_-@_-"/>
    <numFmt numFmtId="170" formatCode="_(* #,##0_);_(* \(#,##0\);_(* &quot;-&quot;??_);_(@_)"/>
  </numFmts>
  <fonts count="5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Calibri"/>
      <family val="2"/>
      <scheme val="minor"/>
    </font>
    <font>
      <sz val="11"/>
      <color indexed="8"/>
      <name val="Calibri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Verdana"/>
      <family val="2"/>
    </font>
    <font>
      <b/>
      <sz val="1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color theme="0"/>
      <name val="Calibri"/>
      <family val="2"/>
      <scheme val="minor"/>
    </font>
    <font>
      <b/>
      <sz val="12"/>
      <color theme="0"/>
      <name val="Arial"/>
      <family val="2"/>
    </font>
    <font>
      <b/>
      <sz val="12"/>
      <color indexed="9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rgb="FF984806"/>
      <name val="Calibri"/>
      <family val="2"/>
      <scheme val="minor"/>
    </font>
    <font>
      <b/>
      <sz val="8"/>
      <name val="Calibri"/>
      <family val="2"/>
      <scheme val="minor"/>
    </font>
    <font>
      <b/>
      <sz val="10"/>
      <color indexed="9"/>
      <name val="Calibri"/>
      <family val="2"/>
      <scheme val="minor"/>
    </font>
    <font>
      <u/>
      <sz val="10"/>
      <name val="Calibri"/>
      <family val="2"/>
      <scheme val="minor"/>
    </font>
    <font>
      <b/>
      <sz val="10"/>
      <color rgb="FF002060"/>
      <name val="Calibri"/>
      <family val="2"/>
      <scheme val="minor"/>
    </font>
    <font>
      <b/>
      <sz val="26"/>
      <color theme="0" tint="-0.14999847407452621"/>
      <name val="Calibri"/>
      <family val="2"/>
      <scheme val="minor"/>
    </font>
    <font>
      <sz val="10"/>
      <color indexed="8"/>
      <name val="Arial"/>
      <family val="2"/>
    </font>
    <font>
      <b/>
      <sz val="10"/>
      <name val="Arial"/>
      <family val="2"/>
    </font>
    <font>
      <b/>
      <sz val="11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name val="Calibri"/>
      <family val="2"/>
      <scheme val="minor"/>
    </font>
    <font>
      <b/>
      <i/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8"/>
      <color theme="0"/>
      <name val="Calibri"/>
      <family val="2"/>
      <scheme val="minor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sz val="11"/>
      <color rgb="FFFF0000"/>
      <name val="Calibri"/>
      <family val="2"/>
      <scheme val="minor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i/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rgb="FFFF0000"/>
      <name val="Calibri"/>
      <family val="2"/>
      <scheme val="minor"/>
    </font>
    <font>
      <sz val="8"/>
      <name val="Calibri"/>
      <family val="2"/>
      <scheme val="minor"/>
    </font>
    <font>
      <b/>
      <u/>
      <sz val="8"/>
      <name val="Calibri"/>
      <family val="2"/>
      <scheme val="minor"/>
    </font>
  </fonts>
  <fills count="2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39997558519241921"/>
        <bgColor indexed="18"/>
      </patternFill>
    </fill>
    <fill>
      <patternFill patternType="solid">
        <fgColor rgb="FF92D050"/>
        <bgColor indexed="64"/>
      </patternFill>
    </fill>
    <fill>
      <patternFill patternType="solid">
        <fgColor rgb="FF00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3" tint="0.59999389629810485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indexed="64"/>
      </bottom>
      <diagonal/>
    </border>
    <border>
      <left style="thin">
        <color rgb="FFFF0000"/>
      </left>
      <right style="thin">
        <color rgb="FFFF0000"/>
      </right>
      <top style="thin">
        <color indexed="64"/>
      </top>
      <bottom style="thin">
        <color indexed="64"/>
      </bottom>
      <diagonal/>
    </border>
    <border>
      <left style="thin">
        <color rgb="FFFF0000"/>
      </left>
      <right style="thin">
        <color rgb="FFFF0000"/>
      </right>
      <top style="thin">
        <color indexed="64"/>
      </top>
      <bottom style="thin">
        <color rgb="FFFF0000"/>
      </bottom>
      <diagonal/>
    </border>
  </borders>
  <cellStyleXfs count="3190">
    <xf numFmtId="0" fontId="0" fillId="0" borderId="0"/>
    <xf numFmtId="164" fontId="3" fillId="0" borderId="0" applyFont="0" applyFill="0" applyBorder="0" applyAlignment="0" applyProtection="0"/>
    <xf numFmtId="0" fontId="4" fillId="0" borderId="0"/>
    <xf numFmtId="0" fontId="4" fillId="0" borderId="0"/>
    <xf numFmtId="0" fontId="2" fillId="0" borderId="0"/>
    <xf numFmtId="0" fontId="2" fillId="0" borderId="0"/>
    <xf numFmtId="0" fontId="8" fillId="0" borderId="0"/>
    <xf numFmtId="0" fontId="4" fillId="0" borderId="0"/>
    <xf numFmtId="165" fontId="2" fillId="0" borderId="0" applyFill="0" applyBorder="0" applyAlignment="0" applyProtection="0"/>
    <xf numFmtId="165" fontId="2" fillId="0" borderId="0" applyFill="0" applyBorder="0" applyAlignment="0" applyProtection="0"/>
    <xf numFmtId="165" fontId="2" fillId="0" borderId="0" applyFill="0" applyBorder="0" applyAlignment="0" applyProtection="0"/>
    <xf numFmtId="165" fontId="2" fillId="0" borderId="0" applyFill="0" applyBorder="0" applyAlignment="0" applyProtection="0"/>
    <xf numFmtId="165" fontId="2" fillId="0" borderId="0" applyFill="0" applyBorder="0" applyAlignment="0" applyProtection="0"/>
    <xf numFmtId="165" fontId="2" fillId="0" borderId="0" applyFill="0" applyBorder="0" applyAlignment="0" applyProtection="0"/>
    <xf numFmtId="165" fontId="2" fillId="0" borderId="0" applyFill="0" applyBorder="0" applyAlignment="0" applyProtection="0"/>
    <xf numFmtId="165" fontId="2" fillId="0" borderId="0" applyFill="0" applyBorder="0" applyAlignment="0" applyProtection="0"/>
    <xf numFmtId="165" fontId="2" fillId="0" borderId="0" applyFill="0" applyBorder="0" applyAlignment="0" applyProtection="0"/>
    <xf numFmtId="165" fontId="2" fillId="0" borderId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5" fontId="2" fillId="0" borderId="0" applyFill="0" applyBorder="0" applyAlignment="0" applyProtection="0"/>
    <xf numFmtId="165" fontId="2" fillId="0" borderId="0" applyFill="0" applyBorder="0" applyAlignment="0" applyProtection="0"/>
    <xf numFmtId="165" fontId="2" fillId="0" borderId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ill="0" applyBorder="0" applyAlignment="0" applyProtection="0"/>
    <xf numFmtId="165" fontId="2" fillId="0" borderId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ill="0" applyBorder="0" applyAlignment="0" applyProtection="0"/>
    <xf numFmtId="165" fontId="2" fillId="0" borderId="0" applyFill="0" applyBorder="0" applyAlignment="0" applyProtection="0"/>
    <xf numFmtId="165" fontId="2" fillId="0" borderId="0" applyFill="0" applyBorder="0" applyAlignment="0" applyProtection="0"/>
    <xf numFmtId="165" fontId="2" fillId="0" borderId="0" applyFill="0" applyBorder="0" applyAlignment="0" applyProtection="0"/>
    <xf numFmtId="165" fontId="2" fillId="0" borderId="0" applyFill="0" applyBorder="0" applyAlignment="0" applyProtection="0"/>
    <xf numFmtId="0" fontId="11" fillId="0" borderId="0"/>
    <xf numFmtId="167" fontId="11" fillId="0" borderId="0"/>
    <xf numFmtId="167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11" fillId="0" borderId="0"/>
    <xf numFmtId="167" fontId="11" fillId="0" borderId="0"/>
    <xf numFmtId="167" fontId="11" fillId="0" borderId="0"/>
    <xf numFmtId="0" fontId="11" fillId="0" borderId="0"/>
    <xf numFmtId="167" fontId="11" fillId="0" borderId="0"/>
    <xf numFmtId="167" fontId="11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2" fillId="0" borderId="0" applyFill="0" applyBorder="0" applyAlignment="0" applyProtection="0"/>
    <xf numFmtId="9" fontId="2" fillId="0" borderId="0" applyFill="0" applyBorder="0" applyAlignment="0" applyProtection="0"/>
    <xf numFmtId="9" fontId="2" fillId="0" borderId="0" applyFill="0" applyBorder="0" applyAlignment="0" applyProtection="0"/>
    <xf numFmtId="9" fontId="2" fillId="0" borderId="0" applyFill="0" applyBorder="0" applyAlignment="0" applyProtection="0"/>
    <xf numFmtId="9" fontId="2" fillId="0" borderId="0" applyFill="0" applyBorder="0" applyAlignment="0" applyProtection="0"/>
    <xf numFmtId="9" fontId="2" fillId="0" borderId="0" applyFill="0" applyBorder="0" applyAlignment="0" applyProtection="0"/>
    <xf numFmtId="9" fontId="2" fillId="0" borderId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" fillId="0" borderId="0" applyFill="0" applyBorder="0" applyAlignment="0" applyProtection="0"/>
    <xf numFmtId="9" fontId="2" fillId="0" borderId="0" applyFill="0" applyBorder="0" applyAlignment="0" applyProtection="0"/>
    <xf numFmtId="9" fontId="2" fillId="0" borderId="0" applyFill="0" applyBorder="0" applyAlignment="0" applyProtection="0"/>
    <xf numFmtId="9" fontId="2" fillId="0" borderId="0" applyFill="0" applyBorder="0" applyAlignment="0" applyProtection="0"/>
    <xf numFmtId="9" fontId="2" fillId="0" borderId="0" applyFill="0" applyBorder="0" applyAlignment="0" applyProtection="0"/>
    <xf numFmtId="9" fontId="2" fillId="0" borderId="0" applyFill="0" applyBorder="0" applyAlignment="0" applyProtection="0"/>
    <xf numFmtId="9" fontId="2" fillId="0" borderId="0" applyFill="0" applyBorder="0" applyAlignment="0" applyProtection="0"/>
    <xf numFmtId="0" fontId="31" fillId="0" borderId="0"/>
    <xf numFmtId="9" fontId="3" fillId="0" borderId="0" applyFont="0" applyFill="0" applyBorder="0" applyAlignment="0" applyProtection="0"/>
  </cellStyleXfs>
  <cellXfs count="280">
    <xf numFmtId="0" fontId="0" fillId="0" borderId="0" xfId="0"/>
    <xf numFmtId="0" fontId="0" fillId="0" borderId="1" xfId="0" applyBorder="1"/>
    <xf numFmtId="0" fontId="1" fillId="2" borderId="1" xfId="0" applyFont="1" applyFill="1" applyBorder="1"/>
    <xf numFmtId="0" fontId="1" fillId="2" borderId="3" xfId="0" applyFont="1" applyFill="1" applyBorder="1"/>
    <xf numFmtId="0" fontId="0" fillId="0" borderId="1" xfId="0" applyFont="1" applyBorder="1"/>
    <xf numFmtId="0" fontId="0" fillId="0" borderId="0" xfId="0" applyFont="1"/>
    <xf numFmtId="0" fontId="5" fillId="0" borderId="1" xfId="2" applyFont="1" applyBorder="1"/>
    <xf numFmtId="0" fontId="0" fillId="4" borderId="1" xfId="0" applyFill="1" applyBorder="1"/>
    <xf numFmtId="0" fontId="5" fillId="4" borderId="1" xfId="0" applyFont="1" applyFill="1" applyBorder="1"/>
    <xf numFmtId="0" fontId="5" fillId="0" borderId="1" xfId="0" applyFont="1" applyBorder="1" applyAlignment="1">
      <alignment horizontal="left"/>
    </xf>
    <xf numFmtId="0" fontId="0" fillId="0" borderId="1" xfId="0" applyFont="1" applyFill="1" applyBorder="1"/>
    <xf numFmtId="1" fontId="5" fillId="4" borderId="1" xfId="1" applyNumberFormat="1" applyFont="1" applyFill="1" applyBorder="1"/>
    <xf numFmtId="0" fontId="0" fillId="0" borderId="1" xfId="0" applyBorder="1" applyAlignment="1">
      <alignment horizontal="left"/>
    </xf>
    <xf numFmtId="0" fontId="6" fillId="4" borderId="1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left" vertical="center"/>
    </xf>
    <xf numFmtId="0" fontId="0" fillId="4" borderId="1" xfId="0" applyFont="1" applyFill="1" applyBorder="1" applyAlignment="1">
      <alignment horizontal="left" vertical="center"/>
    </xf>
    <xf numFmtId="0" fontId="5" fillId="4" borderId="1" xfId="0" applyFont="1" applyFill="1" applyBorder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4" borderId="1" xfId="0" applyFill="1" applyBorder="1" applyAlignment="1">
      <alignment horizontal="left" vertical="center"/>
    </xf>
    <xf numFmtId="0" fontId="2" fillId="0" borderId="0" xfId="5"/>
    <xf numFmtId="0" fontId="7" fillId="0" borderId="1" xfId="5" applyFont="1" applyBorder="1"/>
    <xf numFmtId="0" fontId="7" fillId="0" borderId="1" xfId="6" applyFont="1" applyBorder="1"/>
    <xf numFmtId="0" fontId="9" fillId="0" borderId="1" xfId="0" applyFont="1" applyBorder="1" applyAlignment="1">
      <alignment horizontal="left" vertical="center"/>
    </xf>
    <xf numFmtId="0" fontId="9" fillId="0" borderId="1" xfId="0" applyFont="1" applyFill="1" applyBorder="1" applyAlignment="1">
      <alignment horizontal="left" vertical="center"/>
    </xf>
    <xf numFmtId="0" fontId="10" fillId="0" borderId="1" xfId="6" applyFont="1" applyBorder="1"/>
    <xf numFmtId="0" fontId="7" fillId="0" borderId="1" xfId="6" applyFont="1" applyFill="1" applyBorder="1"/>
    <xf numFmtId="0" fontId="7" fillId="0" borderId="1" xfId="7" applyFont="1" applyFill="1" applyBorder="1"/>
    <xf numFmtId="0" fontId="7" fillId="0" borderId="1" xfId="6" applyFont="1" applyBorder="1" applyAlignment="1">
      <alignment wrapText="1"/>
    </xf>
    <xf numFmtId="0" fontId="2" fillId="4" borderId="1" xfId="5" applyFont="1" applyFill="1" applyBorder="1"/>
    <xf numFmtId="0" fontId="16" fillId="7" borderId="1" xfId="5" applyFont="1" applyFill="1" applyBorder="1"/>
    <xf numFmtId="0" fontId="17" fillId="8" borderId="4" xfId="5" applyFont="1" applyFill="1" applyBorder="1" applyAlignment="1">
      <alignment horizontal="center" vertical="center" shrinkToFit="1"/>
    </xf>
    <xf numFmtId="0" fontId="3" fillId="0" borderId="0" xfId="0" applyFont="1"/>
    <xf numFmtId="0" fontId="7" fillId="0" borderId="0" xfId="5" applyFont="1"/>
    <xf numFmtId="0" fontId="9" fillId="0" borderId="0" xfId="0" applyFont="1"/>
    <xf numFmtId="0" fontId="20" fillId="0" borderId="0" xfId="3" applyFont="1" applyBorder="1" applyAlignment="1"/>
    <xf numFmtId="0" fontId="21" fillId="0" borderId="2" xfId="3" applyFont="1" applyBorder="1" applyAlignment="1">
      <alignment horizontal="center" vertical="center"/>
    </xf>
    <xf numFmtId="14" fontId="7" fillId="4" borderId="1" xfId="3" applyNumberFormat="1" applyFont="1" applyFill="1" applyBorder="1" applyAlignment="1">
      <alignment horizontal="left" vertical="center"/>
    </xf>
    <xf numFmtId="0" fontId="7" fillId="4" borderId="1" xfId="4" applyFont="1" applyFill="1" applyBorder="1" applyAlignment="1">
      <alignment horizontal="left" vertical="center"/>
    </xf>
    <xf numFmtId="14" fontId="9" fillId="4" borderId="1" xfId="0" applyNumberFormat="1" applyFont="1" applyFill="1" applyBorder="1" applyAlignment="1">
      <alignment horizontal="left" vertical="center"/>
    </xf>
    <xf numFmtId="14" fontId="7" fillId="4" borderId="1" xfId="4" applyNumberFormat="1" applyFont="1" applyFill="1" applyBorder="1" applyAlignment="1">
      <alignment horizontal="left" vertical="center"/>
    </xf>
    <xf numFmtId="0" fontId="9" fillId="0" borderId="0" xfId="0" applyFont="1" applyAlignment="1"/>
    <xf numFmtId="0" fontId="9" fillId="0" borderId="1" xfId="0" applyFont="1" applyBorder="1" applyAlignment="1">
      <alignment vertical="center"/>
    </xf>
    <xf numFmtId="0" fontId="9" fillId="0" borderId="0" xfId="0" applyFont="1" applyAlignment="1">
      <alignment vertical="center"/>
    </xf>
    <xf numFmtId="1" fontId="7" fillId="4" borderId="1" xfId="3" applyNumberFormat="1" applyFont="1" applyFill="1" applyBorder="1" applyAlignment="1">
      <alignment horizontal="left" vertical="center"/>
    </xf>
    <xf numFmtId="14" fontId="7" fillId="0" borderId="1" xfId="4" applyNumberFormat="1" applyFont="1" applyFill="1" applyBorder="1" applyAlignment="1">
      <alignment horizontal="left" vertical="center"/>
    </xf>
    <xf numFmtId="14" fontId="7" fillId="0" borderId="1" xfId="3" applyNumberFormat="1" applyFont="1" applyFill="1" applyBorder="1" applyAlignment="1">
      <alignment horizontal="left" vertical="center"/>
    </xf>
    <xf numFmtId="0" fontId="20" fillId="0" borderId="1" xfId="0" applyFont="1" applyFill="1" applyBorder="1" applyAlignment="1">
      <alignment vertical="center"/>
    </xf>
    <xf numFmtId="169" fontId="20" fillId="4" borderId="1" xfId="1" applyNumberFormat="1" applyFont="1" applyFill="1" applyBorder="1" applyAlignment="1">
      <alignment horizontal="left" vertical="center"/>
    </xf>
    <xf numFmtId="169" fontId="20" fillId="4" borderId="1" xfId="1" applyNumberFormat="1" applyFont="1" applyFill="1" applyBorder="1" applyAlignment="1">
      <alignment horizontal="center" vertical="center"/>
    </xf>
    <xf numFmtId="169" fontId="20" fillId="4" borderId="13" xfId="1" applyNumberFormat="1" applyFont="1" applyFill="1" applyBorder="1" applyAlignment="1">
      <alignment horizontal="left" vertical="center"/>
    </xf>
    <xf numFmtId="169" fontId="7" fillId="4" borderId="1" xfId="1" applyNumberFormat="1" applyFont="1" applyFill="1" applyBorder="1" applyAlignment="1">
      <alignment horizontal="left" vertical="center"/>
    </xf>
    <xf numFmtId="169" fontId="22" fillId="4" borderId="1" xfId="1" applyNumberFormat="1" applyFont="1" applyFill="1" applyBorder="1" applyAlignment="1">
      <alignment horizontal="center" vertical="center"/>
    </xf>
    <xf numFmtId="169" fontId="24" fillId="4" borderId="1" xfId="1" applyNumberFormat="1" applyFont="1" applyFill="1" applyBorder="1" applyAlignment="1">
      <alignment horizontal="center" vertical="center"/>
    </xf>
    <xf numFmtId="169" fontId="7" fillId="4" borderId="1" xfId="1" applyNumberFormat="1" applyFont="1" applyFill="1" applyBorder="1" applyAlignment="1">
      <alignment horizontal="center" vertical="center"/>
    </xf>
    <xf numFmtId="169" fontId="7" fillId="0" borderId="1" xfId="1" applyNumberFormat="1" applyFont="1" applyBorder="1" applyAlignment="1">
      <alignment horizontal="center" vertical="center"/>
    </xf>
    <xf numFmtId="169" fontId="24" fillId="4" borderId="1" xfId="1" applyNumberFormat="1" applyFont="1" applyFill="1" applyBorder="1" applyAlignment="1">
      <alignment horizontal="left" vertical="center"/>
    </xf>
    <xf numFmtId="168" fontId="7" fillId="0" borderId="0" xfId="5" applyNumberFormat="1" applyFont="1" applyFill="1" applyBorder="1"/>
    <xf numFmtId="168" fontId="7" fillId="0" borderId="0" xfId="2" applyNumberFormat="1" applyFont="1" applyFill="1" applyBorder="1"/>
    <xf numFmtId="0" fontId="7" fillId="0" borderId="0" xfId="5" applyFont="1" applyBorder="1"/>
    <xf numFmtId="0" fontId="7" fillId="0" borderId="0" xfId="5" applyFont="1" applyFill="1" applyBorder="1"/>
    <xf numFmtId="0" fontId="7" fillId="0" borderId="0" xfId="2" applyFont="1" applyFill="1" applyBorder="1"/>
    <xf numFmtId="1" fontId="7" fillId="0" borderId="0" xfId="2" applyNumberFormat="1" applyFont="1" applyFill="1" applyBorder="1"/>
    <xf numFmtId="3" fontId="7" fillId="0" borderId="0" xfId="2" applyNumberFormat="1" applyFont="1" applyFill="1" applyBorder="1"/>
    <xf numFmtId="3" fontId="7" fillId="4" borderId="0" xfId="2" applyNumberFormat="1" applyFont="1" applyFill="1" applyBorder="1"/>
    <xf numFmtId="3" fontId="10" fillId="0" borderId="0" xfId="2" applyNumberFormat="1" applyFont="1" applyFill="1" applyBorder="1"/>
    <xf numFmtId="0" fontId="24" fillId="0" borderId="0" xfId="0" applyFont="1" applyBorder="1"/>
    <xf numFmtId="0" fontId="24" fillId="0" borderId="0" xfId="0" applyFont="1"/>
    <xf numFmtId="0" fontId="9" fillId="0" borderId="0" xfId="0" quotePrefix="1" applyFont="1"/>
    <xf numFmtId="3" fontId="7" fillId="0" borderId="0" xfId="5" applyNumberFormat="1" applyFont="1" applyFill="1" applyBorder="1"/>
    <xf numFmtId="169" fontId="9" fillId="4" borderId="1" xfId="1" applyNumberFormat="1" applyFont="1" applyFill="1" applyBorder="1" applyAlignment="1">
      <alignment horizontal="left"/>
    </xf>
    <xf numFmtId="169" fontId="7" fillId="4" borderId="1" xfId="1" applyNumberFormat="1" applyFont="1" applyFill="1" applyBorder="1" applyAlignment="1">
      <alignment horizontal="left"/>
    </xf>
    <xf numFmtId="0" fontId="9" fillId="0" borderId="0" xfId="0" applyFont="1" applyAlignment="1">
      <alignment horizontal="center" vertical="center"/>
    </xf>
    <xf numFmtId="0" fontId="7" fillId="0" borderId="0" xfId="5" applyFont="1" applyFill="1" applyBorder="1" applyAlignment="1">
      <alignment horizontal="center" vertical="center"/>
    </xf>
    <xf numFmtId="169" fontId="24" fillId="11" borderId="1" xfId="1" applyNumberFormat="1" applyFont="1" applyFill="1" applyBorder="1" applyAlignment="1">
      <alignment horizontal="left" wrapText="1"/>
    </xf>
    <xf numFmtId="169" fontId="24" fillId="10" borderId="1" xfId="1" applyNumberFormat="1" applyFont="1" applyFill="1" applyBorder="1" applyAlignment="1">
      <alignment horizontal="left" wrapText="1"/>
    </xf>
    <xf numFmtId="169" fontId="24" fillId="9" borderId="1" xfId="1" applyNumberFormat="1" applyFont="1" applyFill="1" applyBorder="1" applyAlignment="1">
      <alignment horizontal="left" wrapText="1"/>
    </xf>
    <xf numFmtId="169" fontId="18" fillId="4" borderId="13" xfId="1" applyNumberFormat="1" applyFont="1" applyFill="1" applyBorder="1" applyAlignment="1">
      <alignment horizontal="left" wrapText="1"/>
    </xf>
    <xf numFmtId="169" fontId="7" fillId="4" borderId="12" xfId="1" applyNumberFormat="1" applyFont="1" applyFill="1" applyBorder="1" applyAlignment="1">
      <alignment horizontal="left"/>
    </xf>
    <xf numFmtId="169" fontId="7" fillId="4" borderId="13" xfId="1" quotePrefix="1" applyNumberFormat="1" applyFont="1" applyFill="1" applyBorder="1" applyAlignment="1">
      <alignment horizontal="left"/>
    </xf>
    <xf numFmtId="169" fontId="20" fillId="4" borderId="13" xfId="1" applyNumberFormat="1" applyFont="1" applyFill="1" applyBorder="1" applyAlignment="1">
      <alignment horizontal="left"/>
    </xf>
    <xf numFmtId="169" fontId="9" fillId="4" borderId="12" xfId="1" applyNumberFormat="1" applyFont="1" applyFill="1" applyBorder="1" applyAlignment="1">
      <alignment horizontal="left"/>
    </xf>
    <xf numFmtId="169" fontId="7" fillId="4" borderId="13" xfId="1" quotePrefix="1" applyNumberFormat="1" applyFont="1" applyFill="1" applyBorder="1" applyAlignment="1">
      <alignment horizontal="left" wrapText="1"/>
    </xf>
    <xf numFmtId="169" fontId="7" fillId="4" borderId="13" xfId="1" applyNumberFormat="1" applyFont="1" applyFill="1" applyBorder="1" applyAlignment="1">
      <alignment horizontal="left"/>
    </xf>
    <xf numFmtId="169" fontId="9" fillId="4" borderId="13" xfId="1" applyNumberFormat="1" applyFont="1" applyFill="1" applyBorder="1" applyAlignment="1">
      <alignment horizontal="left"/>
    </xf>
    <xf numFmtId="169" fontId="7" fillId="4" borderId="13" xfId="1" applyNumberFormat="1" applyFont="1" applyFill="1" applyBorder="1" applyAlignment="1">
      <alignment horizontal="left" vertical="center"/>
    </xf>
    <xf numFmtId="169" fontId="24" fillId="11" borderId="5" xfId="1" applyNumberFormat="1" applyFont="1" applyFill="1" applyBorder="1" applyAlignment="1">
      <alignment horizontal="left" wrapText="1"/>
    </xf>
    <xf numFmtId="169" fontId="20" fillId="4" borderId="5" xfId="1" applyNumberFormat="1" applyFont="1" applyFill="1" applyBorder="1" applyAlignment="1">
      <alignment horizontal="left" vertical="center"/>
    </xf>
    <xf numFmtId="169" fontId="24" fillId="4" borderId="5" xfId="1" applyNumberFormat="1" applyFont="1" applyFill="1" applyBorder="1" applyAlignment="1">
      <alignment horizontal="left" vertical="center"/>
    </xf>
    <xf numFmtId="169" fontId="29" fillId="12" borderId="6" xfId="1" applyNumberFormat="1" applyFont="1" applyFill="1" applyBorder="1" applyAlignment="1">
      <alignment horizontal="left" vertical="center"/>
    </xf>
    <xf numFmtId="169" fontId="27" fillId="13" borderId="12" xfId="1" applyNumberFormat="1" applyFont="1" applyFill="1" applyBorder="1" applyAlignment="1">
      <alignment horizontal="left" vertical="center" wrapText="1"/>
    </xf>
    <xf numFmtId="169" fontId="27" fillId="13" borderId="1" xfId="1" applyNumberFormat="1" applyFont="1" applyFill="1" applyBorder="1" applyAlignment="1">
      <alignment horizontal="left" vertical="center" wrapText="1"/>
    </xf>
    <xf numFmtId="169" fontId="18" fillId="13" borderId="13" xfId="1" applyNumberFormat="1" applyFont="1" applyFill="1" applyBorder="1" applyAlignment="1">
      <alignment horizontal="left" vertical="center" wrapText="1"/>
    </xf>
    <xf numFmtId="169" fontId="18" fillId="3" borderId="11" xfId="1" applyNumberFormat="1" applyFont="1" applyFill="1" applyBorder="1" applyAlignment="1">
      <alignment horizontal="center" vertical="center" wrapText="1"/>
    </xf>
    <xf numFmtId="169" fontId="20" fillId="12" borderId="22" xfId="1" applyNumberFormat="1" applyFont="1" applyFill="1" applyBorder="1" applyAlignment="1">
      <alignment horizontal="left" vertical="center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0" fillId="0" borderId="1" xfId="0" applyNumberFormat="1" applyBorder="1"/>
    <xf numFmtId="0" fontId="16" fillId="7" borderId="3" xfId="5" applyFont="1" applyFill="1" applyBorder="1"/>
    <xf numFmtId="0" fontId="2" fillId="0" borderId="3" xfId="5" applyBorder="1"/>
    <xf numFmtId="0" fontId="0" fillId="0" borderId="12" xfId="0" applyBorder="1" applyAlignment="1">
      <alignment horizontal="left"/>
    </xf>
    <xf numFmtId="0" fontId="5" fillId="0" borderId="12" xfId="0" applyFont="1" applyBorder="1" applyAlignment="1">
      <alignment horizontal="left"/>
    </xf>
    <xf numFmtId="0" fontId="2" fillId="4" borderId="12" xfId="0" applyFont="1" applyFill="1" applyBorder="1"/>
    <xf numFmtId="0" fontId="16" fillId="7" borderId="25" xfId="5" applyFont="1" applyFill="1" applyBorder="1"/>
    <xf numFmtId="1" fontId="18" fillId="7" borderId="26" xfId="4" applyNumberFormat="1" applyFont="1" applyFill="1" applyBorder="1" applyAlignment="1">
      <alignment horizontal="center" vertical="center" wrapText="1"/>
    </xf>
    <xf numFmtId="1" fontId="18" fillId="7" borderId="27" xfId="4" applyNumberFormat="1" applyFont="1" applyFill="1" applyBorder="1" applyAlignment="1">
      <alignment horizontal="center" vertical="center" wrapText="1"/>
    </xf>
    <xf numFmtId="0" fontId="12" fillId="2" borderId="25" xfId="2" applyFont="1" applyFill="1" applyBorder="1"/>
    <xf numFmtId="170" fontId="31" fillId="4" borderId="1" xfId="18" applyNumberFormat="1" applyFont="1" applyFill="1" applyBorder="1" applyAlignment="1">
      <alignment horizontal="right" wrapText="1"/>
    </xf>
    <xf numFmtId="0" fontId="31" fillId="4" borderId="13" xfId="3188" applyFont="1" applyFill="1" applyBorder="1" applyAlignment="1">
      <alignment horizontal="right" wrapText="1"/>
    </xf>
    <xf numFmtId="3" fontId="31" fillId="4" borderId="13" xfId="3188" applyNumberFormat="1" applyFont="1" applyFill="1" applyBorder="1" applyAlignment="1">
      <alignment horizontal="right" wrapText="1"/>
    </xf>
    <xf numFmtId="0" fontId="12" fillId="15" borderId="12" xfId="2" applyFont="1" applyFill="1" applyBorder="1"/>
    <xf numFmtId="3" fontId="32" fillId="15" borderId="1" xfId="5" applyNumberFormat="1" applyFont="1" applyFill="1" applyBorder="1" applyAlignment="1">
      <alignment horizontal="right"/>
    </xf>
    <xf numFmtId="3" fontId="32" fillId="15" borderId="13" xfId="5" applyNumberFormat="1" applyFont="1" applyFill="1" applyBorder="1" applyAlignment="1">
      <alignment horizontal="right"/>
    </xf>
    <xf numFmtId="3" fontId="1" fillId="15" borderId="1" xfId="0" applyNumberFormat="1" applyFont="1" applyFill="1" applyBorder="1" applyAlignment="1">
      <alignment horizontal="right"/>
    </xf>
    <xf numFmtId="3" fontId="1" fillId="15" borderId="13" xfId="0" applyNumberFormat="1" applyFont="1" applyFill="1" applyBorder="1" applyAlignment="1">
      <alignment horizontal="right"/>
    </xf>
    <xf numFmtId="0" fontId="12" fillId="15" borderId="7" xfId="2" applyFont="1" applyFill="1" applyBorder="1"/>
    <xf numFmtId="3" fontId="32" fillId="15" borderId="20" xfId="5" applyNumberFormat="1" applyFont="1" applyFill="1" applyBorder="1"/>
    <xf numFmtId="3" fontId="32" fillId="15" borderId="6" xfId="5" applyNumberFormat="1" applyFont="1" applyFill="1" applyBorder="1"/>
    <xf numFmtId="3" fontId="32" fillId="2" borderId="26" xfId="5" applyNumberFormat="1" applyFont="1" applyFill="1" applyBorder="1"/>
    <xf numFmtId="3" fontId="32" fillId="2" borderId="27" xfId="5" applyNumberFormat="1" applyFont="1" applyFill="1" applyBorder="1"/>
    <xf numFmtId="0" fontId="32" fillId="15" borderId="1" xfId="5" applyFont="1" applyFill="1" applyBorder="1" applyAlignment="1">
      <alignment horizontal="right"/>
    </xf>
    <xf numFmtId="0" fontId="1" fillId="4" borderId="1" xfId="0" applyNumberFormat="1" applyFont="1" applyFill="1" applyBorder="1"/>
    <xf numFmtId="0" fontId="21" fillId="0" borderId="28" xfId="3" applyFont="1" applyBorder="1" applyAlignment="1">
      <alignment horizontal="center" vertical="center"/>
    </xf>
    <xf numFmtId="0" fontId="15" fillId="13" borderId="1" xfId="5" applyFont="1" applyFill="1" applyBorder="1" applyAlignment="1">
      <alignment horizontal="center" vertical="center" wrapText="1"/>
    </xf>
    <xf numFmtId="0" fontId="15" fillId="13" borderId="1" xfId="4" applyFont="1" applyFill="1" applyBorder="1" applyAlignment="1">
      <alignment horizontal="center" vertical="center" wrapText="1"/>
    </xf>
    <xf numFmtId="0" fontId="12" fillId="6" borderId="1" xfId="4" applyFont="1" applyFill="1" applyBorder="1" applyAlignment="1">
      <alignment horizontal="center" vertical="center" wrapText="1"/>
    </xf>
    <xf numFmtId="0" fontId="26" fillId="6" borderId="1" xfId="4" applyFont="1" applyFill="1" applyBorder="1" applyAlignment="1">
      <alignment horizontal="center" vertical="center" textRotation="255" wrapText="1"/>
    </xf>
    <xf numFmtId="0" fontId="12" fillId="6" borderId="1" xfId="4" applyFont="1" applyFill="1" applyBorder="1" applyAlignment="1">
      <alignment horizontal="center" vertical="center"/>
    </xf>
    <xf numFmtId="0" fontId="26" fillId="6" borderId="1" xfId="4" applyFont="1" applyFill="1" applyBorder="1" applyAlignment="1">
      <alignment horizontal="center" vertical="center" textRotation="255"/>
    </xf>
    <xf numFmtId="0" fontId="18" fillId="14" borderId="1" xfId="4" applyFont="1" applyFill="1" applyBorder="1" applyAlignment="1">
      <alignment horizontal="center" vertical="center" wrapText="1"/>
    </xf>
    <xf numFmtId="1" fontId="18" fillId="5" borderId="1" xfId="3" applyNumberFormat="1" applyFont="1" applyFill="1" applyBorder="1" applyAlignment="1">
      <alignment horizontal="center" vertical="center" wrapText="1"/>
    </xf>
    <xf numFmtId="1" fontId="18" fillId="3" borderId="1" xfId="4" applyNumberFormat="1" applyFont="1" applyFill="1" applyBorder="1" applyAlignment="1">
      <alignment horizontal="center" vertical="center" wrapText="1"/>
    </xf>
    <xf numFmtId="0" fontId="7" fillId="4" borderId="1" xfId="3" applyFont="1" applyFill="1" applyBorder="1" applyAlignment="1">
      <alignment horizontal="left" vertical="center"/>
    </xf>
    <xf numFmtId="0" fontId="9" fillId="3" borderId="1" xfId="0" applyFont="1" applyFill="1" applyBorder="1" applyAlignment="1">
      <alignment vertical="center"/>
    </xf>
    <xf numFmtId="0" fontId="9" fillId="4" borderId="1" xfId="0" applyFont="1" applyFill="1" applyBorder="1" applyAlignment="1">
      <alignment vertical="center"/>
    </xf>
    <xf numFmtId="0" fontId="23" fillId="4" borderId="1" xfId="0" applyFont="1" applyFill="1" applyBorder="1" applyAlignment="1">
      <alignment horizontal="left" vertical="center"/>
    </xf>
    <xf numFmtId="0" fontId="9" fillId="0" borderId="1" xfId="0" applyFont="1" applyBorder="1"/>
    <xf numFmtId="0" fontId="34" fillId="0" borderId="0" xfId="0" applyFont="1"/>
    <xf numFmtId="0" fontId="35" fillId="0" borderId="0" xfId="0" applyFont="1"/>
    <xf numFmtId="0" fontId="33" fillId="0" borderId="0" xfId="0" applyFont="1"/>
    <xf numFmtId="0" fontId="7" fillId="0" borderId="0" xfId="0" applyFont="1"/>
    <xf numFmtId="0" fontId="36" fillId="0" borderId="0" xfId="0" applyFont="1"/>
    <xf numFmtId="0" fontId="20" fillId="0" borderId="0" xfId="0" applyFont="1"/>
    <xf numFmtId="169" fontId="20" fillId="3" borderId="1" xfId="1" applyNumberFormat="1" applyFont="1" applyFill="1" applyBorder="1" applyAlignment="1">
      <alignment horizontal="left" vertical="center"/>
    </xf>
    <xf numFmtId="0" fontId="37" fillId="0" borderId="0" xfId="0" applyFont="1" applyAlignment="1"/>
    <xf numFmtId="0" fontId="38" fillId="0" borderId="0" xfId="0" applyFont="1"/>
    <xf numFmtId="0" fontId="37" fillId="0" borderId="0" xfId="0" applyFont="1"/>
    <xf numFmtId="0" fontId="22" fillId="0" borderId="0" xfId="0" applyFont="1"/>
    <xf numFmtId="0" fontId="22" fillId="0" borderId="0" xfId="0" applyFont="1" applyAlignment="1">
      <alignment horizontal="left"/>
    </xf>
    <xf numFmtId="0" fontId="41" fillId="0" borderId="1" xfId="0" applyFont="1" applyBorder="1" applyAlignment="1">
      <alignment horizontal="center"/>
    </xf>
    <xf numFmtId="0" fontId="40" fillId="0" borderId="1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40" fillId="4" borderId="1" xfId="0" applyFont="1" applyFill="1" applyBorder="1" applyAlignment="1">
      <alignment vertical="top" wrapText="1"/>
    </xf>
    <xf numFmtId="0" fontId="40" fillId="4" borderId="1" xfId="0" applyFont="1" applyFill="1" applyBorder="1" applyAlignment="1">
      <alignment horizontal="center" vertical="top" wrapText="1"/>
    </xf>
    <xf numFmtId="0" fontId="40" fillId="4" borderId="1" xfId="0" applyFont="1" applyFill="1" applyBorder="1" applyAlignment="1">
      <alignment horizontal="center"/>
    </xf>
    <xf numFmtId="0" fontId="20" fillId="4" borderId="1" xfId="0" applyFont="1" applyFill="1" applyBorder="1" applyAlignment="1">
      <alignment vertical="center"/>
    </xf>
    <xf numFmtId="0" fontId="9" fillId="4" borderId="0" xfId="0" applyFont="1" applyFill="1" applyAlignment="1">
      <alignment vertical="center"/>
    </xf>
    <xf numFmtId="0" fontId="22" fillId="0" borderId="0" xfId="0" applyFont="1" applyAlignment="1">
      <alignment vertical="center"/>
    </xf>
    <xf numFmtId="0" fontId="0" fillId="0" borderId="0" xfId="0" applyBorder="1"/>
    <xf numFmtId="1" fontId="20" fillId="14" borderId="1" xfId="4" applyNumberFormat="1" applyFont="1" applyFill="1" applyBorder="1" applyAlignment="1">
      <alignment horizontal="center" vertical="center" wrapText="1"/>
    </xf>
    <xf numFmtId="0" fontId="7" fillId="0" borderId="1" xfId="0" applyFont="1" applyBorder="1"/>
    <xf numFmtId="0" fontId="0" fillId="0" borderId="1" xfId="0" pivotButton="1" applyBorder="1"/>
    <xf numFmtId="169" fontId="0" fillId="3" borderId="1" xfId="1" applyNumberFormat="1" applyFont="1" applyFill="1" applyBorder="1" applyAlignment="1">
      <alignment horizontal="left" vertical="center"/>
    </xf>
    <xf numFmtId="0" fontId="0" fillId="0" borderId="1" xfId="0" applyNumberFormat="1" applyFont="1" applyBorder="1"/>
    <xf numFmtId="0" fontId="1" fillId="0" borderId="1" xfId="0" applyFont="1" applyBorder="1" applyAlignment="1">
      <alignment horizontal="left"/>
    </xf>
    <xf numFmtId="0" fontId="0" fillId="0" borderId="0" xfId="0" applyBorder="1" applyAlignment="1">
      <alignment horizontal="left"/>
    </xf>
    <xf numFmtId="0" fontId="0" fillId="0" borderId="0" xfId="0" applyNumberFormat="1" applyBorder="1"/>
    <xf numFmtId="0" fontId="0" fillId="0" borderId="0" xfId="0" applyNumberFormat="1" applyFont="1" applyBorder="1"/>
    <xf numFmtId="0" fontId="42" fillId="0" borderId="0" xfId="0" applyFont="1"/>
    <xf numFmtId="0" fontId="12" fillId="16" borderId="1" xfId="0" applyFont="1" applyFill="1" applyBorder="1"/>
    <xf numFmtId="0" fontId="12" fillId="4" borderId="1" xfId="0" applyFont="1" applyFill="1" applyBorder="1"/>
    <xf numFmtId="9" fontId="12" fillId="4" borderId="1" xfId="3189" applyFont="1" applyFill="1" applyBorder="1"/>
    <xf numFmtId="0" fontId="12" fillId="7" borderId="1" xfId="0" applyFont="1" applyFill="1" applyBorder="1"/>
    <xf numFmtId="9" fontId="12" fillId="7" borderId="1" xfId="3189" applyFont="1" applyFill="1" applyBorder="1"/>
    <xf numFmtId="9" fontId="5" fillId="4" borderId="1" xfId="3189" applyFont="1" applyFill="1" applyBorder="1"/>
    <xf numFmtId="0" fontId="0" fillId="0" borderId="0" xfId="0" applyAlignment="1">
      <alignment horizontal="center"/>
    </xf>
    <xf numFmtId="0" fontId="5" fillId="16" borderId="1" xfId="0" applyFont="1" applyFill="1" applyBorder="1" applyAlignment="1">
      <alignment horizontal="center"/>
    </xf>
    <xf numFmtId="0" fontId="12" fillId="16" borderId="1" xfId="0" applyFont="1" applyFill="1" applyBorder="1" applyAlignment="1">
      <alignment horizontal="center"/>
    </xf>
    <xf numFmtId="169" fontId="5" fillId="4" borderId="1" xfId="1" applyNumberFormat="1" applyFont="1" applyFill="1" applyBorder="1"/>
    <xf numFmtId="169" fontId="12" fillId="7" borderId="1" xfId="1" applyNumberFormat="1" applyFont="1" applyFill="1" applyBorder="1"/>
    <xf numFmtId="169" fontId="5" fillId="4" borderId="1" xfId="0" applyNumberFormat="1" applyFont="1" applyFill="1" applyBorder="1"/>
    <xf numFmtId="169" fontId="12" fillId="7" borderId="1" xfId="0" applyNumberFormat="1" applyFont="1" applyFill="1" applyBorder="1"/>
    <xf numFmtId="169" fontId="0" fillId="0" borderId="0" xfId="0" applyNumberFormat="1"/>
    <xf numFmtId="0" fontId="5" fillId="0" borderId="0" xfId="0" applyFont="1"/>
    <xf numFmtId="169" fontId="5" fillId="4" borderId="1" xfId="3189" applyNumberFormat="1" applyFont="1" applyFill="1" applyBorder="1"/>
    <xf numFmtId="0" fontId="5" fillId="18" borderId="1" xfId="0" applyFont="1" applyFill="1" applyBorder="1"/>
    <xf numFmtId="0" fontId="5" fillId="19" borderId="3" xfId="0" applyFont="1" applyFill="1" applyBorder="1"/>
    <xf numFmtId="0" fontId="0" fillId="0" borderId="0" xfId="0" applyFont="1" applyBorder="1" applyAlignment="1">
      <alignment horizontal="left"/>
    </xf>
    <xf numFmtId="0" fontId="12" fillId="19" borderId="1" xfId="0" applyFont="1" applyFill="1" applyBorder="1" applyAlignment="1">
      <alignment horizontal="center"/>
    </xf>
    <xf numFmtId="9" fontId="12" fillId="19" borderId="1" xfId="3189" applyFont="1" applyFill="1" applyBorder="1" applyAlignment="1">
      <alignment horizontal="center"/>
    </xf>
    <xf numFmtId="0" fontId="12" fillId="17" borderId="1" xfId="0" applyFont="1" applyFill="1" applyBorder="1" applyAlignment="1">
      <alignment horizontal="center"/>
    </xf>
    <xf numFmtId="169" fontId="12" fillId="17" borderId="1" xfId="0" applyNumberFormat="1" applyFont="1" applyFill="1" applyBorder="1" applyAlignment="1">
      <alignment horizontal="center"/>
    </xf>
    <xf numFmtId="9" fontId="12" fillId="17" borderId="1" xfId="3189" applyFont="1" applyFill="1" applyBorder="1" applyAlignment="1">
      <alignment horizontal="center"/>
    </xf>
    <xf numFmtId="0" fontId="12" fillId="4" borderId="1" xfId="4" applyFont="1" applyFill="1" applyBorder="1" applyAlignment="1">
      <alignment horizontal="left" vertical="center"/>
    </xf>
    <xf numFmtId="0" fontId="1" fillId="0" borderId="1" xfId="0" applyFont="1" applyBorder="1"/>
    <xf numFmtId="1" fontId="12" fillId="4" borderId="1" xfId="3" applyNumberFormat="1" applyFont="1" applyFill="1" applyBorder="1" applyAlignment="1">
      <alignment horizontal="left" vertical="center"/>
    </xf>
    <xf numFmtId="0" fontId="15" fillId="7" borderId="1" xfId="0" applyFont="1" applyFill="1" applyBorder="1"/>
    <xf numFmtId="0" fontId="15" fillId="20" borderId="1" xfId="0" applyFont="1" applyFill="1" applyBorder="1"/>
    <xf numFmtId="0" fontId="1" fillId="4" borderId="1" xfId="0" applyFont="1" applyFill="1" applyBorder="1"/>
    <xf numFmtId="0" fontId="12" fillId="4" borderId="31" xfId="0" applyFont="1" applyFill="1" applyBorder="1"/>
    <xf numFmtId="0" fontId="33" fillId="4" borderId="33" xfId="0" applyFont="1" applyFill="1" applyBorder="1"/>
    <xf numFmtId="0" fontId="0" fillId="4" borderId="1" xfId="0" applyNumberFormat="1" applyFont="1" applyFill="1" applyBorder="1"/>
    <xf numFmtId="0" fontId="42" fillId="4" borderId="32" xfId="0" applyFont="1" applyFill="1" applyBorder="1"/>
    <xf numFmtId="0" fontId="5" fillId="4" borderId="3" xfId="0" applyNumberFormat="1" applyFont="1" applyFill="1" applyBorder="1"/>
    <xf numFmtId="0" fontId="12" fillId="4" borderId="3" xfId="0" applyNumberFormat="1" applyFont="1" applyFill="1" applyBorder="1"/>
    <xf numFmtId="0" fontId="15" fillId="21" borderId="1" xfId="0" applyFont="1" applyFill="1" applyBorder="1"/>
    <xf numFmtId="0" fontId="46" fillId="0" borderId="0" xfId="0" applyFont="1" applyBorder="1" applyAlignment="1">
      <alignment horizontal="left"/>
    </xf>
    <xf numFmtId="0" fontId="48" fillId="19" borderId="1" xfId="0" applyFont="1" applyFill="1" applyBorder="1"/>
    <xf numFmtId="0" fontId="48" fillId="19" borderId="2" xfId="0" applyFont="1" applyFill="1" applyBorder="1" applyAlignment="1">
      <alignment horizontal="center"/>
    </xf>
    <xf numFmtId="0" fontId="48" fillId="19" borderId="1" xfId="0" applyFont="1" applyFill="1" applyBorder="1" applyAlignment="1">
      <alignment horizontal="center"/>
    </xf>
    <xf numFmtId="169" fontId="48" fillId="19" borderId="2" xfId="1" applyNumberFormat="1" applyFont="1" applyFill="1" applyBorder="1" applyAlignment="1">
      <alignment horizontal="center"/>
    </xf>
    <xf numFmtId="0" fontId="48" fillId="4" borderId="1" xfId="4" applyFont="1" applyFill="1" applyBorder="1" applyAlignment="1">
      <alignment horizontal="left" vertical="center"/>
    </xf>
    <xf numFmtId="169" fontId="49" fillId="0" borderId="1" xfId="1" applyNumberFormat="1" applyFont="1" applyFill="1" applyBorder="1"/>
    <xf numFmtId="9" fontId="48" fillId="0" borderId="1" xfId="3189" applyFont="1" applyFill="1" applyBorder="1"/>
    <xf numFmtId="169" fontId="49" fillId="0" borderId="1" xfId="0" applyNumberFormat="1" applyFont="1" applyFill="1" applyBorder="1"/>
    <xf numFmtId="0" fontId="47" fillId="0" borderId="1" xfId="0" applyFont="1" applyBorder="1"/>
    <xf numFmtId="1" fontId="48" fillId="4" borderId="1" xfId="3" applyNumberFormat="1" applyFont="1" applyFill="1" applyBorder="1" applyAlignment="1">
      <alignment horizontal="left" vertical="center"/>
    </xf>
    <xf numFmtId="0" fontId="48" fillId="17" borderId="1" xfId="0" applyFont="1" applyFill="1" applyBorder="1"/>
    <xf numFmtId="169" fontId="48" fillId="17" borderId="1" xfId="1" applyNumberFormat="1" applyFont="1" applyFill="1" applyBorder="1"/>
    <xf numFmtId="9" fontId="48" fillId="17" borderId="1" xfId="3189" applyFont="1" applyFill="1" applyBorder="1"/>
    <xf numFmtId="169" fontId="48" fillId="17" borderId="1" xfId="0" applyNumberFormat="1" applyFont="1" applyFill="1" applyBorder="1"/>
    <xf numFmtId="0" fontId="15" fillId="21" borderId="3" xfId="0" applyFont="1" applyFill="1" applyBorder="1"/>
    <xf numFmtId="0" fontId="7" fillId="3" borderId="1" xfId="3" applyFont="1" applyFill="1" applyBorder="1" applyAlignment="1">
      <alignment horizontal="left" vertical="center"/>
    </xf>
    <xf numFmtId="169" fontId="9" fillId="9" borderId="1" xfId="0" applyNumberFormat="1" applyFont="1" applyFill="1" applyBorder="1"/>
    <xf numFmtId="0" fontId="9" fillId="0" borderId="1" xfId="0" applyFont="1" applyFill="1" applyBorder="1" applyAlignment="1">
      <alignment vertical="center"/>
    </xf>
    <xf numFmtId="0" fontId="50" fillId="0" borderId="0" xfId="0" applyFont="1"/>
    <xf numFmtId="0" fontId="51" fillId="0" borderId="0" xfId="0" applyFont="1"/>
    <xf numFmtId="1" fontId="52" fillId="4" borderId="1" xfId="3" applyNumberFormat="1" applyFont="1" applyFill="1" applyBorder="1" applyAlignment="1">
      <alignment horizontal="left" vertical="center" wrapText="1"/>
    </xf>
    <xf numFmtId="0" fontId="52" fillId="4" borderId="1" xfId="3" applyFont="1" applyFill="1" applyBorder="1" applyAlignment="1">
      <alignment horizontal="left" vertical="center"/>
    </xf>
    <xf numFmtId="0" fontId="26" fillId="4" borderId="1" xfId="3" applyFont="1" applyFill="1" applyBorder="1" applyAlignment="1">
      <alignment horizontal="left" vertical="center"/>
    </xf>
    <xf numFmtId="0" fontId="50" fillId="4" borderId="1" xfId="0" applyFont="1" applyFill="1" applyBorder="1" applyAlignment="1">
      <alignment vertical="center"/>
    </xf>
    <xf numFmtId="0" fontId="50" fillId="0" borderId="1" xfId="0" applyFont="1" applyBorder="1"/>
    <xf numFmtId="0" fontId="1" fillId="0" borderId="0" xfId="0" applyFont="1"/>
    <xf numFmtId="0" fontId="33" fillId="3" borderId="32" xfId="0" applyFont="1" applyFill="1" applyBorder="1"/>
    <xf numFmtId="0" fontId="0" fillId="0" borderId="1" xfId="0" applyBorder="1" applyAlignment="1">
      <alignment horizontal="right"/>
    </xf>
    <xf numFmtId="169" fontId="12" fillId="22" borderId="1" xfId="0" applyNumberFormat="1" applyFont="1" applyFill="1" applyBorder="1" applyAlignment="1">
      <alignment horizontal="center"/>
    </xf>
    <xf numFmtId="0" fontId="1" fillId="22" borderId="1" xfId="0" applyFont="1" applyFill="1" applyBorder="1"/>
    <xf numFmtId="0" fontId="1" fillId="19" borderId="1" xfId="0" applyFont="1" applyFill="1" applyBorder="1"/>
    <xf numFmtId="169" fontId="9" fillId="3" borderId="12" xfId="1" applyNumberFormat="1" applyFont="1" applyFill="1" applyBorder="1" applyAlignment="1">
      <alignment horizontal="left"/>
    </xf>
    <xf numFmtId="169" fontId="7" fillId="3" borderId="1" xfId="1" applyNumberFormat="1" applyFont="1" applyFill="1" applyBorder="1" applyAlignment="1">
      <alignment horizontal="left" vertical="center"/>
    </xf>
    <xf numFmtId="169" fontId="7" fillId="3" borderId="1" xfId="1" applyNumberFormat="1" applyFont="1" applyFill="1" applyBorder="1" applyAlignment="1">
      <alignment horizontal="center" vertical="center"/>
    </xf>
    <xf numFmtId="169" fontId="7" fillId="3" borderId="1" xfId="1" applyNumberFormat="1" applyFont="1" applyFill="1" applyBorder="1" applyAlignment="1">
      <alignment horizontal="left"/>
    </xf>
    <xf numFmtId="169" fontId="24" fillId="3" borderId="5" xfId="1" applyNumberFormat="1" applyFont="1" applyFill="1" applyBorder="1" applyAlignment="1">
      <alignment horizontal="left" vertical="center"/>
    </xf>
    <xf numFmtId="169" fontId="24" fillId="3" borderId="1" xfId="1" applyNumberFormat="1" applyFont="1" applyFill="1" applyBorder="1" applyAlignment="1">
      <alignment horizontal="left" vertical="center"/>
    </xf>
    <xf numFmtId="0" fontId="9" fillId="4" borderId="0" xfId="0" applyFont="1" applyFill="1"/>
    <xf numFmtId="169" fontId="7" fillId="3" borderId="13" xfId="1" applyNumberFormat="1" applyFont="1" applyFill="1" applyBorder="1" applyAlignment="1">
      <alignment horizontal="left" vertical="center"/>
    </xf>
    <xf numFmtId="0" fontId="25" fillId="4" borderId="14" xfId="0" applyFont="1" applyFill="1" applyBorder="1" applyAlignment="1">
      <alignment horizontal="left" vertical="center" wrapText="1"/>
    </xf>
    <xf numFmtId="0" fontId="25" fillId="4" borderId="15" xfId="0" applyFont="1" applyFill="1" applyBorder="1" applyAlignment="1">
      <alignment horizontal="left" vertical="center"/>
    </xf>
    <xf numFmtId="0" fontId="25" fillId="4" borderId="16" xfId="0" applyFont="1" applyFill="1" applyBorder="1" applyAlignment="1">
      <alignment horizontal="left" vertical="center"/>
    </xf>
    <xf numFmtId="0" fontId="25" fillId="4" borderId="17" xfId="0" applyFont="1" applyFill="1" applyBorder="1" applyAlignment="1">
      <alignment horizontal="left" vertical="center"/>
    </xf>
    <xf numFmtId="0" fontId="25" fillId="4" borderId="18" xfId="0" applyFont="1" applyFill="1" applyBorder="1" applyAlignment="1">
      <alignment horizontal="left" vertical="center"/>
    </xf>
    <xf numFmtId="0" fontId="25" fillId="4" borderId="19" xfId="0" applyFont="1" applyFill="1" applyBorder="1" applyAlignment="1">
      <alignment horizontal="left" vertical="center"/>
    </xf>
    <xf numFmtId="0" fontId="39" fillId="13" borderId="0" xfId="0" applyFont="1" applyFill="1" applyAlignment="1">
      <alignment horizontal="center" vertical="center"/>
    </xf>
    <xf numFmtId="0" fontId="36" fillId="9" borderId="30" xfId="0" applyFont="1" applyFill="1" applyBorder="1" applyAlignment="1">
      <alignment horizontal="center"/>
    </xf>
    <xf numFmtId="169" fontId="19" fillId="5" borderId="9" xfId="1" applyNumberFormat="1" applyFont="1" applyFill="1" applyBorder="1" applyAlignment="1">
      <alignment horizontal="center" vertical="center" wrapText="1"/>
    </xf>
    <xf numFmtId="169" fontId="19" fillId="5" borderId="8" xfId="1" applyNumberFormat="1" applyFont="1" applyFill="1" applyBorder="1" applyAlignment="1">
      <alignment horizontal="center" vertical="center" wrapText="1"/>
    </xf>
    <xf numFmtId="169" fontId="12" fillId="6" borderId="11" xfId="1" applyNumberFormat="1" applyFont="1" applyFill="1" applyBorder="1" applyAlignment="1">
      <alignment horizontal="center" vertical="center" wrapText="1"/>
    </xf>
    <xf numFmtId="169" fontId="12" fillId="6" borderId="13" xfId="1" applyNumberFormat="1" applyFont="1" applyFill="1" applyBorder="1" applyAlignment="1">
      <alignment horizontal="center" vertical="center" wrapText="1"/>
    </xf>
    <xf numFmtId="169" fontId="30" fillId="13" borderId="10" xfId="1" applyNumberFormat="1" applyFont="1" applyFill="1" applyBorder="1" applyAlignment="1">
      <alignment horizontal="left" vertical="center" wrapText="1"/>
    </xf>
    <xf numFmtId="169" fontId="30" fillId="13" borderId="9" xfId="1" applyNumberFormat="1" applyFont="1" applyFill="1" applyBorder="1" applyAlignment="1">
      <alignment horizontal="left" vertical="center" wrapText="1"/>
    </xf>
    <xf numFmtId="169" fontId="30" fillId="13" borderId="11" xfId="1" applyNumberFormat="1" applyFont="1" applyFill="1" applyBorder="1" applyAlignment="1">
      <alignment horizontal="left" vertical="center" wrapText="1"/>
    </xf>
    <xf numFmtId="169" fontId="24" fillId="12" borderId="23" xfId="1" applyNumberFormat="1" applyFont="1" applyFill="1" applyBorder="1" applyAlignment="1">
      <alignment horizontal="right" vertical="center"/>
    </xf>
    <xf numFmtId="169" fontId="24" fillId="12" borderId="21" xfId="1" applyNumberFormat="1" applyFont="1" applyFill="1" applyBorder="1" applyAlignment="1">
      <alignment horizontal="right" vertical="center"/>
    </xf>
    <xf numFmtId="169" fontId="24" fillId="12" borderId="24" xfId="1" applyNumberFormat="1" applyFont="1" applyFill="1" applyBorder="1" applyAlignment="1">
      <alignment horizontal="right" vertical="center"/>
    </xf>
    <xf numFmtId="169" fontId="12" fillId="6" borderId="10" xfId="1" applyNumberFormat="1" applyFont="1" applyFill="1" applyBorder="1" applyAlignment="1">
      <alignment horizontal="center" vertical="center" wrapText="1"/>
    </xf>
    <xf numFmtId="169" fontId="12" fillId="6" borderId="12" xfId="1" applyNumberFormat="1" applyFont="1" applyFill="1" applyBorder="1" applyAlignment="1">
      <alignment horizontal="center" vertical="center" wrapText="1"/>
    </xf>
    <xf numFmtId="169" fontId="26" fillId="6" borderId="9" xfId="1" applyNumberFormat="1" applyFont="1" applyFill="1" applyBorder="1" applyAlignment="1">
      <alignment horizontal="center" vertical="center" textRotation="255" wrapText="1"/>
    </xf>
    <xf numFmtId="169" fontId="26" fillId="6" borderId="1" xfId="1" applyNumberFormat="1" applyFont="1" applyFill="1" applyBorder="1" applyAlignment="1">
      <alignment horizontal="center" vertical="center" textRotation="255" wrapText="1"/>
    </xf>
    <xf numFmtId="169" fontId="12" fillId="6" borderId="9" xfId="1" applyNumberFormat="1" applyFont="1" applyFill="1" applyBorder="1" applyAlignment="1">
      <alignment horizontal="center" vertical="center" wrapText="1"/>
    </xf>
    <xf numFmtId="169" fontId="12" fillId="6" borderId="1" xfId="1" applyNumberFormat="1" applyFont="1" applyFill="1" applyBorder="1" applyAlignment="1">
      <alignment horizontal="center" vertical="center" wrapText="1"/>
    </xf>
    <xf numFmtId="0" fontId="47" fillId="19" borderId="1" xfId="0" applyNumberFormat="1" applyFont="1" applyFill="1" applyBorder="1" applyAlignment="1">
      <alignment horizontal="center"/>
    </xf>
    <xf numFmtId="0" fontId="47" fillId="19" borderId="1" xfId="0" applyFont="1" applyFill="1" applyBorder="1" applyAlignment="1">
      <alignment horizontal="center"/>
    </xf>
    <xf numFmtId="0" fontId="1" fillId="19" borderId="1" xfId="0" applyNumberFormat="1" applyFont="1" applyFill="1" applyBorder="1" applyAlignment="1">
      <alignment horizontal="center"/>
    </xf>
    <xf numFmtId="0" fontId="1" fillId="19" borderId="1" xfId="0" applyFont="1" applyFill="1" applyBorder="1" applyAlignment="1">
      <alignment horizontal="center"/>
    </xf>
    <xf numFmtId="0" fontId="45" fillId="0" borderId="0" xfId="0" applyFont="1" applyAlignment="1">
      <alignment horizontal="center"/>
    </xf>
    <xf numFmtId="0" fontId="37" fillId="0" borderId="0" xfId="0" applyFont="1" applyAlignment="1">
      <alignment horizontal="left"/>
    </xf>
    <xf numFmtId="0" fontId="22" fillId="0" borderId="0" xfId="0" applyFont="1" applyAlignment="1">
      <alignment horizontal="left"/>
    </xf>
    <xf numFmtId="0" fontId="19" fillId="7" borderId="29" xfId="0" applyFont="1" applyFill="1" applyBorder="1" applyAlignment="1">
      <alignment horizontal="center"/>
    </xf>
    <xf numFmtId="0" fontId="0" fillId="0" borderId="30" xfId="0" applyBorder="1"/>
    <xf numFmtId="0" fontId="19" fillId="7" borderId="30" xfId="0" applyFont="1" applyFill="1" applyBorder="1" applyAlignment="1">
      <alignment horizontal="center"/>
    </xf>
  </cellXfs>
  <cellStyles count="3190">
    <cellStyle name="Comma 10" xfId="8"/>
    <cellStyle name="Comma 11" xfId="9"/>
    <cellStyle name="Comma 12" xfId="10"/>
    <cellStyle name="Comma 13" xfId="11"/>
    <cellStyle name="Comma 14" xfId="12"/>
    <cellStyle name="Comma 15" xfId="13"/>
    <cellStyle name="Comma 16" xfId="14"/>
    <cellStyle name="Comma 17" xfId="15"/>
    <cellStyle name="Comma 18" xfId="16"/>
    <cellStyle name="Comma 19" xfId="17"/>
    <cellStyle name="Comma 2" xfId="18"/>
    <cellStyle name="Comma 2 10" xfId="19"/>
    <cellStyle name="Comma 2 10 10" xfId="20"/>
    <cellStyle name="Comma 2 10 11" xfId="21"/>
    <cellStyle name="Comma 2 10 12" xfId="22"/>
    <cellStyle name="Comma 2 10 13" xfId="23"/>
    <cellStyle name="Comma 2 10 14" xfId="24"/>
    <cellStyle name="Comma 2 10 15" xfId="25"/>
    <cellStyle name="Comma 2 10 16" xfId="26"/>
    <cellStyle name="Comma 2 10 17" xfId="27"/>
    <cellStyle name="Comma 2 10 18" xfId="28"/>
    <cellStyle name="Comma 2 10 19" xfId="29"/>
    <cellStyle name="Comma 2 10 2" xfId="30"/>
    <cellStyle name="Comma 2 10 20" xfId="31"/>
    <cellStyle name="Comma 2 10 21" xfId="32"/>
    <cellStyle name="Comma 2 10 22" xfId="33"/>
    <cellStyle name="Comma 2 10 23" xfId="34"/>
    <cellStyle name="Comma 2 10 24" xfId="35"/>
    <cellStyle name="Comma 2 10 25" xfId="36"/>
    <cellStyle name="Comma 2 10 26" xfId="37"/>
    <cellStyle name="Comma 2 10 27" xfId="38"/>
    <cellStyle name="Comma 2 10 28" xfId="39"/>
    <cellStyle name="Comma 2 10 29" xfId="40"/>
    <cellStyle name="Comma 2 10 3" xfId="41"/>
    <cellStyle name="Comma 2 10 30" xfId="42"/>
    <cellStyle name="Comma 2 10 31" xfId="43"/>
    <cellStyle name="Comma 2 10 32" xfId="44"/>
    <cellStyle name="Comma 2 10 33" xfId="45"/>
    <cellStyle name="Comma 2 10 34" xfId="46"/>
    <cellStyle name="Comma 2 10 35" xfId="47"/>
    <cellStyle name="Comma 2 10 36" xfId="48"/>
    <cellStyle name="Comma 2 10 37" xfId="49"/>
    <cellStyle name="Comma 2 10 38" xfId="50"/>
    <cellStyle name="Comma 2 10 39" xfId="51"/>
    <cellStyle name="Comma 2 10 4" xfId="52"/>
    <cellStyle name="Comma 2 10 40" xfId="53"/>
    <cellStyle name="Comma 2 10 41" xfId="54"/>
    <cellStyle name="Comma 2 10 42" xfId="55"/>
    <cellStyle name="Comma 2 10 5" xfId="56"/>
    <cellStyle name="Comma 2 10 6" xfId="57"/>
    <cellStyle name="Comma 2 10 7" xfId="58"/>
    <cellStyle name="Comma 2 10 8" xfId="59"/>
    <cellStyle name="Comma 2 10 9" xfId="60"/>
    <cellStyle name="Comma 2 11" xfId="61"/>
    <cellStyle name="Comma 2 11 2" xfId="62"/>
    <cellStyle name="Comma 2 11 3" xfId="63"/>
    <cellStyle name="Comma 2 11 4" xfId="64"/>
    <cellStyle name="Comma 2 11 5" xfId="65"/>
    <cellStyle name="Comma 2 11 6" xfId="66"/>
    <cellStyle name="Comma 2 11 7" xfId="67"/>
    <cellStyle name="Comma 2 12" xfId="68"/>
    <cellStyle name="Comma 2 12 2" xfId="69"/>
    <cellStyle name="Comma 2 12 3" xfId="70"/>
    <cellStyle name="Comma 2 12 4" xfId="71"/>
    <cellStyle name="Comma 2 12 5" xfId="72"/>
    <cellStyle name="Comma 2 12 6" xfId="73"/>
    <cellStyle name="Comma 2 12 7" xfId="74"/>
    <cellStyle name="Comma 2 13" xfId="75"/>
    <cellStyle name="Comma 2 13 2" xfId="76"/>
    <cellStyle name="Comma 2 13 3" xfId="77"/>
    <cellStyle name="Comma 2 13 4" xfId="78"/>
    <cellStyle name="Comma 2 13 5" xfId="79"/>
    <cellStyle name="Comma 2 13 6" xfId="80"/>
    <cellStyle name="Comma 2 13 7" xfId="81"/>
    <cellStyle name="Comma 2 14" xfId="82"/>
    <cellStyle name="Comma 2 14 2" xfId="83"/>
    <cellStyle name="Comma 2 14 3" xfId="84"/>
    <cellStyle name="Comma 2 14 4" xfId="85"/>
    <cellStyle name="Comma 2 14 5" xfId="86"/>
    <cellStyle name="Comma 2 14 6" xfId="87"/>
    <cellStyle name="Comma 2 14 7" xfId="88"/>
    <cellStyle name="Comma 2 15" xfId="89"/>
    <cellStyle name="Comma 2 15 2" xfId="90"/>
    <cellStyle name="Comma 2 15 3" xfId="91"/>
    <cellStyle name="Comma 2 15 4" xfId="92"/>
    <cellStyle name="Comma 2 15 5" xfId="93"/>
    <cellStyle name="Comma 2 15 6" xfId="94"/>
    <cellStyle name="Comma 2 15 7" xfId="95"/>
    <cellStyle name="Comma 2 16" xfId="96"/>
    <cellStyle name="Comma 2 16 2" xfId="97"/>
    <cellStyle name="Comma 2 16 3" xfId="98"/>
    <cellStyle name="Comma 2 16 4" xfId="99"/>
    <cellStyle name="Comma 2 16 5" xfId="100"/>
    <cellStyle name="Comma 2 16 6" xfId="101"/>
    <cellStyle name="Comma 2 16 7" xfId="102"/>
    <cellStyle name="Comma 2 17" xfId="103"/>
    <cellStyle name="Comma 2 17 2" xfId="104"/>
    <cellStyle name="Comma 2 17 3" xfId="105"/>
    <cellStyle name="Comma 2 17 4" xfId="106"/>
    <cellStyle name="Comma 2 17 5" xfId="107"/>
    <cellStyle name="Comma 2 17 6" xfId="108"/>
    <cellStyle name="Comma 2 17 7" xfId="109"/>
    <cellStyle name="Comma 2 18" xfId="110"/>
    <cellStyle name="Comma 2 18 2" xfId="111"/>
    <cellStyle name="Comma 2 18 3" xfId="112"/>
    <cellStyle name="Comma 2 18 4" xfId="113"/>
    <cellStyle name="Comma 2 18 5" xfId="114"/>
    <cellStyle name="Comma 2 18 6" xfId="115"/>
    <cellStyle name="Comma 2 18 7" xfId="116"/>
    <cellStyle name="Comma 2 19" xfId="117"/>
    <cellStyle name="Comma 2 19 2" xfId="118"/>
    <cellStyle name="Comma 2 19 3" xfId="119"/>
    <cellStyle name="Comma 2 19 4" xfId="120"/>
    <cellStyle name="Comma 2 19 5" xfId="121"/>
    <cellStyle name="Comma 2 19 6" xfId="122"/>
    <cellStyle name="Comma 2 19 7" xfId="123"/>
    <cellStyle name="Comma 2 2" xfId="124"/>
    <cellStyle name="Comma 2 2 10" xfId="125"/>
    <cellStyle name="Comma 2 2 11" xfId="126"/>
    <cellStyle name="Comma 2 2 12" xfId="127"/>
    <cellStyle name="Comma 2 2 13" xfId="128"/>
    <cellStyle name="Comma 2 2 14" xfId="129"/>
    <cellStyle name="Comma 2 2 15" xfId="130"/>
    <cellStyle name="Comma 2 2 16" xfId="131"/>
    <cellStyle name="Comma 2 2 17" xfId="132"/>
    <cellStyle name="Comma 2 2 18" xfId="133"/>
    <cellStyle name="Comma 2 2 19" xfId="134"/>
    <cellStyle name="Comma 2 2 2" xfId="135"/>
    <cellStyle name="Comma 2 2 20" xfId="136"/>
    <cellStyle name="Comma 2 2 21" xfId="137"/>
    <cellStyle name="Comma 2 2 22" xfId="138"/>
    <cellStyle name="Comma 2 2 23" xfId="139"/>
    <cellStyle name="Comma 2 2 24" xfId="140"/>
    <cellStyle name="Comma 2 2 25" xfId="141"/>
    <cellStyle name="Comma 2 2 26" xfId="142"/>
    <cellStyle name="Comma 2 2 27" xfId="143"/>
    <cellStyle name="Comma 2 2 28" xfId="144"/>
    <cellStyle name="Comma 2 2 29" xfId="145"/>
    <cellStyle name="Comma 2 2 3" xfId="146"/>
    <cellStyle name="Comma 2 2 30" xfId="147"/>
    <cellStyle name="Comma 2 2 31" xfId="148"/>
    <cellStyle name="Comma 2 2 32" xfId="149"/>
    <cellStyle name="Comma 2 2 33" xfId="150"/>
    <cellStyle name="Comma 2 2 34" xfId="151"/>
    <cellStyle name="Comma 2 2 35" xfId="152"/>
    <cellStyle name="Comma 2 2 36" xfId="153"/>
    <cellStyle name="Comma 2 2 37" xfId="154"/>
    <cellStyle name="Comma 2 2 38" xfId="155"/>
    <cellStyle name="Comma 2 2 39" xfId="156"/>
    <cellStyle name="Comma 2 2 4" xfId="157"/>
    <cellStyle name="Comma 2 2 40" xfId="158"/>
    <cellStyle name="Comma 2 2 41" xfId="159"/>
    <cellStyle name="Comma 2 2 42" xfId="160"/>
    <cellStyle name="Comma 2 2 5" xfId="161"/>
    <cellStyle name="Comma 2 2 6" xfId="162"/>
    <cellStyle name="Comma 2 2 7" xfId="163"/>
    <cellStyle name="Comma 2 2 8" xfId="164"/>
    <cellStyle name="Comma 2 2 9" xfId="165"/>
    <cellStyle name="Comma 2 20" xfId="166"/>
    <cellStyle name="Comma 2 20 2" xfId="167"/>
    <cellStyle name="Comma 2 20 3" xfId="168"/>
    <cellStyle name="Comma 2 20 4" xfId="169"/>
    <cellStyle name="Comma 2 20 5" xfId="170"/>
    <cellStyle name="Comma 2 20 6" xfId="171"/>
    <cellStyle name="Comma 2 20 7" xfId="172"/>
    <cellStyle name="Comma 2 21" xfId="173"/>
    <cellStyle name="Comma 2 21 2" xfId="174"/>
    <cellStyle name="Comma 2 21 3" xfId="175"/>
    <cellStyle name="Comma 2 21 4" xfId="176"/>
    <cellStyle name="Comma 2 21 5" xfId="177"/>
    <cellStyle name="Comma 2 21 6" xfId="178"/>
    <cellStyle name="Comma 2 21 7" xfId="179"/>
    <cellStyle name="Comma 2 22" xfId="180"/>
    <cellStyle name="Comma 2 22 2" xfId="181"/>
    <cellStyle name="Comma 2 22 3" xfId="182"/>
    <cellStyle name="Comma 2 22 4" xfId="183"/>
    <cellStyle name="Comma 2 22 5" xfId="184"/>
    <cellStyle name="Comma 2 22 6" xfId="185"/>
    <cellStyle name="Comma 2 22 7" xfId="186"/>
    <cellStyle name="Comma 2 23" xfId="187"/>
    <cellStyle name="Comma 2 23 2" xfId="188"/>
    <cellStyle name="Comma 2 23 3" xfId="189"/>
    <cellStyle name="Comma 2 23 4" xfId="190"/>
    <cellStyle name="Comma 2 23 5" xfId="191"/>
    <cellStyle name="Comma 2 23 6" xfId="192"/>
    <cellStyle name="Comma 2 23 7" xfId="193"/>
    <cellStyle name="Comma 2 24" xfId="194"/>
    <cellStyle name="Comma 2 24 2" xfId="195"/>
    <cellStyle name="Comma 2 24 3" xfId="196"/>
    <cellStyle name="Comma 2 24 4" xfId="197"/>
    <cellStyle name="Comma 2 24 5" xfId="198"/>
    <cellStyle name="Comma 2 24 6" xfId="199"/>
    <cellStyle name="Comma 2 24 7" xfId="200"/>
    <cellStyle name="Comma 2 25" xfId="201"/>
    <cellStyle name="Comma 2 25 2" xfId="202"/>
    <cellStyle name="Comma 2 25 3" xfId="203"/>
    <cellStyle name="Comma 2 25 4" xfId="204"/>
    <cellStyle name="Comma 2 25 5" xfId="205"/>
    <cellStyle name="Comma 2 25 6" xfId="206"/>
    <cellStyle name="Comma 2 25 7" xfId="207"/>
    <cellStyle name="Comma 2 26" xfId="208"/>
    <cellStyle name="Comma 2 26 2" xfId="209"/>
    <cellStyle name="Comma 2 26 3" xfId="210"/>
    <cellStyle name="Comma 2 26 4" xfId="211"/>
    <cellStyle name="Comma 2 26 5" xfId="212"/>
    <cellStyle name="Comma 2 26 6" xfId="213"/>
    <cellStyle name="Comma 2 26 7" xfId="214"/>
    <cellStyle name="Comma 2 27" xfId="215"/>
    <cellStyle name="Comma 2 27 2" xfId="216"/>
    <cellStyle name="Comma 2 27 3" xfId="217"/>
    <cellStyle name="Comma 2 27 4" xfId="218"/>
    <cellStyle name="Comma 2 27 5" xfId="219"/>
    <cellStyle name="Comma 2 27 6" xfId="220"/>
    <cellStyle name="Comma 2 27 7" xfId="221"/>
    <cellStyle name="Comma 2 28" xfId="222"/>
    <cellStyle name="Comma 2 28 2" xfId="223"/>
    <cellStyle name="Comma 2 28 3" xfId="224"/>
    <cellStyle name="Comma 2 28 4" xfId="225"/>
    <cellStyle name="Comma 2 28 5" xfId="226"/>
    <cellStyle name="Comma 2 28 6" xfId="227"/>
    <cellStyle name="Comma 2 28 7" xfId="228"/>
    <cellStyle name="Comma 2 29" xfId="229"/>
    <cellStyle name="Comma 2 29 2" xfId="230"/>
    <cellStyle name="Comma 2 29 3" xfId="231"/>
    <cellStyle name="Comma 2 29 4" xfId="232"/>
    <cellStyle name="Comma 2 29 5" xfId="233"/>
    <cellStyle name="Comma 2 29 6" xfId="234"/>
    <cellStyle name="Comma 2 29 7" xfId="235"/>
    <cellStyle name="Comma 2 3" xfId="236"/>
    <cellStyle name="Comma 2 3 10" xfId="237"/>
    <cellStyle name="Comma 2 3 11" xfId="238"/>
    <cellStyle name="Comma 2 3 12" xfId="239"/>
    <cellStyle name="Comma 2 3 13" xfId="240"/>
    <cellStyle name="Comma 2 3 14" xfId="241"/>
    <cellStyle name="Comma 2 3 15" xfId="242"/>
    <cellStyle name="Comma 2 3 16" xfId="243"/>
    <cellStyle name="Comma 2 3 17" xfId="244"/>
    <cellStyle name="Comma 2 3 18" xfId="245"/>
    <cellStyle name="Comma 2 3 19" xfId="246"/>
    <cellStyle name="Comma 2 3 2" xfId="247"/>
    <cellStyle name="Comma 2 3 20" xfId="248"/>
    <cellStyle name="Comma 2 3 21" xfId="249"/>
    <cellStyle name="Comma 2 3 22" xfId="250"/>
    <cellStyle name="Comma 2 3 23" xfId="251"/>
    <cellStyle name="Comma 2 3 24" xfId="252"/>
    <cellStyle name="Comma 2 3 25" xfId="253"/>
    <cellStyle name="Comma 2 3 26" xfId="254"/>
    <cellStyle name="Comma 2 3 27" xfId="255"/>
    <cellStyle name="Comma 2 3 28" xfId="256"/>
    <cellStyle name="Comma 2 3 29" xfId="257"/>
    <cellStyle name="Comma 2 3 3" xfId="258"/>
    <cellStyle name="Comma 2 3 30" xfId="259"/>
    <cellStyle name="Comma 2 3 31" xfId="260"/>
    <cellStyle name="Comma 2 3 32" xfId="261"/>
    <cellStyle name="Comma 2 3 33" xfId="262"/>
    <cellStyle name="Comma 2 3 34" xfId="263"/>
    <cellStyle name="Comma 2 3 35" xfId="264"/>
    <cellStyle name="Comma 2 3 36" xfId="265"/>
    <cellStyle name="Comma 2 3 37" xfId="266"/>
    <cellStyle name="Comma 2 3 38" xfId="267"/>
    <cellStyle name="Comma 2 3 39" xfId="268"/>
    <cellStyle name="Comma 2 3 4" xfId="269"/>
    <cellStyle name="Comma 2 3 40" xfId="270"/>
    <cellStyle name="Comma 2 3 41" xfId="271"/>
    <cellStyle name="Comma 2 3 42" xfId="272"/>
    <cellStyle name="Comma 2 3 5" xfId="273"/>
    <cellStyle name="Comma 2 3 6" xfId="274"/>
    <cellStyle name="Comma 2 3 7" xfId="275"/>
    <cellStyle name="Comma 2 3 8" xfId="276"/>
    <cellStyle name="Comma 2 3 9" xfId="277"/>
    <cellStyle name="Comma 2 30" xfId="278"/>
    <cellStyle name="Comma 2 30 2" xfId="279"/>
    <cellStyle name="Comma 2 30 3" xfId="280"/>
    <cellStyle name="Comma 2 30 4" xfId="281"/>
    <cellStyle name="Comma 2 30 5" xfId="282"/>
    <cellStyle name="Comma 2 30 6" xfId="283"/>
    <cellStyle name="Comma 2 30 7" xfId="284"/>
    <cellStyle name="Comma 2 31" xfId="285"/>
    <cellStyle name="Comma 2 31 2" xfId="286"/>
    <cellStyle name="Comma 2 31 3" xfId="287"/>
    <cellStyle name="Comma 2 31 4" xfId="288"/>
    <cellStyle name="Comma 2 31 5" xfId="289"/>
    <cellStyle name="Comma 2 31 6" xfId="290"/>
    <cellStyle name="Comma 2 31 7" xfId="291"/>
    <cellStyle name="Comma 2 32" xfId="292"/>
    <cellStyle name="Comma 2 32 2" xfId="293"/>
    <cellStyle name="Comma 2 32 3" xfId="294"/>
    <cellStyle name="Comma 2 32 4" xfId="295"/>
    <cellStyle name="Comma 2 32 5" xfId="296"/>
    <cellStyle name="Comma 2 32 6" xfId="297"/>
    <cellStyle name="Comma 2 32 7" xfId="298"/>
    <cellStyle name="Comma 2 33" xfId="299"/>
    <cellStyle name="Comma 2 33 2" xfId="300"/>
    <cellStyle name="Comma 2 33 3" xfId="301"/>
    <cellStyle name="Comma 2 33 4" xfId="302"/>
    <cellStyle name="Comma 2 33 5" xfId="303"/>
    <cellStyle name="Comma 2 33 6" xfId="304"/>
    <cellStyle name="Comma 2 33 7" xfId="305"/>
    <cellStyle name="Comma 2 34" xfId="306"/>
    <cellStyle name="Comma 2 34 2" xfId="307"/>
    <cellStyle name="Comma 2 34 3" xfId="308"/>
    <cellStyle name="Comma 2 34 4" xfId="309"/>
    <cellStyle name="Comma 2 34 5" xfId="310"/>
    <cellStyle name="Comma 2 34 6" xfId="311"/>
    <cellStyle name="Comma 2 34 7" xfId="312"/>
    <cellStyle name="Comma 2 35" xfId="313"/>
    <cellStyle name="Comma 2 35 2" xfId="314"/>
    <cellStyle name="Comma 2 35 3" xfId="315"/>
    <cellStyle name="Comma 2 35 4" xfId="316"/>
    <cellStyle name="Comma 2 35 5" xfId="317"/>
    <cellStyle name="Comma 2 35 6" xfId="318"/>
    <cellStyle name="Comma 2 35 7" xfId="319"/>
    <cellStyle name="Comma 2 36" xfId="320"/>
    <cellStyle name="Comma 2 36 2" xfId="321"/>
    <cellStyle name="Comma 2 36 3" xfId="322"/>
    <cellStyle name="Comma 2 36 4" xfId="323"/>
    <cellStyle name="Comma 2 36 5" xfId="324"/>
    <cellStyle name="Comma 2 36 6" xfId="325"/>
    <cellStyle name="Comma 2 36 7" xfId="326"/>
    <cellStyle name="Comma 2 37" xfId="327"/>
    <cellStyle name="Comma 2 37 2" xfId="328"/>
    <cellStyle name="Comma 2 37 3" xfId="329"/>
    <cellStyle name="Comma 2 37 4" xfId="330"/>
    <cellStyle name="Comma 2 37 5" xfId="331"/>
    <cellStyle name="Comma 2 37 6" xfId="332"/>
    <cellStyle name="Comma 2 37 7" xfId="333"/>
    <cellStyle name="Comma 2 38" xfId="334"/>
    <cellStyle name="Comma 2 38 2" xfId="335"/>
    <cellStyle name="Comma 2 38 3" xfId="336"/>
    <cellStyle name="Comma 2 38 4" xfId="337"/>
    <cellStyle name="Comma 2 38 5" xfId="338"/>
    <cellStyle name="Comma 2 38 6" xfId="339"/>
    <cellStyle name="Comma 2 38 7" xfId="340"/>
    <cellStyle name="Comma 2 39" xfId="341"/>
    <cellStyle name="Comma 2 39 2" xfId="342"/>
    <cellStyle name="Comma 2 39 3" xfId="343"/>
    <cellStyle name="Comma 2 39 4" xfId="344"/>
    <cellStyle name="Comma 2 39 5" xfId="345"/>
    <cellStyle name="Comma 2 39 6" xfId="346"/>
    <cellStyle name="Comma 2 39 7" xfId="347"/>
    <cellStyle name="Comma 2 4" xfId="348"/>
    <cellStyle name="Comma 2 4 10" xfId="349"/>
    <cellStyle name="Comma 2 4 11" xfId="350"/>
    <cellStyle name="Comma 2 4 12" xfId="351"/>
    <cellStyle name="Comma 2 4 13" xfId="352"/>
    <cellStyle name="Comma 2 4 14" xfId="353"/>
    <cellStyle name="Comma 2 4 15" xfId="354"/>
    <cellStyle name="Comma 2 4 16" xfId="355"/>
    <cellStyle name="Comma 2 4 17" xfId="356"/>
    <cellStyle name="Comma 2 4 18" xfId="357"/>
    <cellStyle name="Comma 2 4 19" xfId="358"/>
    <cellStyle name="Comma 2 4 2" xfId="359"/>
    <cellStyle name="Comma 2 4 20" xfId="360"/>
    <cellStyle name="Comma 2 4 21" xfId="361"/>
    <cellStyle name="Comma 2 4 22" xfId="362"/>
    <cellStyle name="Comma 2 4 23" xfId="363"/>
    <cellStyle name="Comma 2 4 24" xfId="364"/>
    <cellStyle name="Comma 2 4 25" xfId="365"/>
    <cellStyle name="Comma 2 4 26" xfId="366"/>
    <cellStyle name="Comma 2 4 27" xfId="367"/>
    <cellStyle name="Comma 2 4 28" xfId="368"/>
    <cellStyle name="Comma 2 4 29" xfId="369"/>
    <cellStyle name="Comma 2 4 3" xfId="370"/>
    <cellStyle name="Comma 2 4 30" xfId="371"/>
    <cellStyle name="Comma 2 4 31" xfId="372"/>
    <cellStyle name="Comma 2 4 32" xfId="373"/>
    <cellStyle name="Comma 2 4 33" xfId="374"/>
    <cellStyle name="Comma 2 4 34" xfId="375"/>
    <cellStyle name="Comma 2 4 35" xfId="376"/>
    <cellStyle name="Comma 2 4 36" xfId="377"/>
    <cellStyle name="Comma 2 4 37" xfId="378"/>
    <cellStyle name="Comma 2 4 38" xfId="379"/>
    <cellStyle name="Comma 2 4 39" xfId="380"/>
    <cellStyle name="Comma 2 4 4" xfId="381"/>
    <cellStyle name="Comma 2 4 40" xfId="382"/>
    <cellStyle name="Comma 2 4 41" xfId="383"/>
    <cellStyle name="Comma 2 4 42" xfId="384"/>
    <cellStyle name="Comma 2 4 5" xfId="385"/>
    <cellStyle name="Comma 2 4 6" xfId="386"/>
    <cellStyle name="Comma 2 4 7" xfId="387"/>
    <cellStyle name="Comma 2 4 8" xfId="388"/>
    <cellStyle name="Comma 2 4 9" xfId="389"/>
    <cellStyle name="Comma 2 5" xfId="390"/>
    <cellStyle name="Comma 2 5 10" xfId="391"/>
    <cellStyle name="Comma 2 5 11" xfId="392"/>
    <cellStyle name="Comma 2 5 12" xfId="393"/>
    <cellStyle name="Comma 2 5 13" xfId="394"/>
    <cellStyle name="Comma 2 5 14" xfId="395"/>
    <cellStyle name="Comma 2 5 15" xfId="396"/>
    <cellStyle name="Comma 2 5 16" xfId="397"/>
    <cellStyle name="Comma 2 5 17" xfId="398"/>
    <cellStyle name="Comma 2 5 18" xfId="399"/>
    <cellStyle name="Comma 2 5 19" xfId="400"/>
    <cellStyle name="Comma 2 5 2" xfId="401"/>
    <cellStyle name="Comma 2 5 20" xfId="402"/>
    <cellStyle name="Comma 2 5 21" xfId="403"/>
    <cellStyle name="Comma 2 5 22" xfId="404"/>
    <cellStyle name="Comma 2 5 23" xfId="405"/>
    <cellStyle name="Comma 2 5 24" xfId="406"/>
    <cellStyle name="Comma 2 5 25" xfId="407"/>
    <cellStyle name="Comma 2 5 26" xfId="408"/>
    <cellStyle name="Comma 2 5 27" xfId="409"/>
    <cellStyle name="Comma 2 5 28" xfId="410"/>
    <cellStyle name="Comma 2 5 29" xfId="411"/>
    <cellStyle name="Comma 2 5 3" xfId="412"/>
    <cellStyle name="Comma 2 5 30" xfId="413"/>
    <cellStyle name="Comma 2 5 31" xfId="414"/>
    <cellStyle name="Comma 2 5 32" xfId="415"/>
    <cellStyle name="Comma 2 5 33" xfId="416"/>
    <cellStyle name="Comma 2 5 34" xfId="417"/>
    <cellStyle name="Comma 2 5 35" xfId="418"/>
    <cellStyle name="Comma 2 5 36" xfId="419"/>
    <cellStyle name="Comma 2 5 37" xfId="420"/>
    <cellStyle name="Comma 2 5 38" xfId="421"/>
    <cellStyle name="Comma 2 5 39" xfId="422"/>
    <cellStyle name="Comma 2 5 4" xfId="423"/>
    <cellStyle name="Comma 2 5 40" xfId="424"/>
    <cellStyle name="Comma 2 5 41" xfId="425"/>
    <cellStyle name="Comma 2 5 42" xfId="426"/>
    <cellStyle name="Comma 2 5 5" xfId="427"/>
    <cellStyle name="Comma 2 5 6" xfId="428"/>
    <cellStyle name="Comma 2 5 7" xfId="429"/>
    <cellStyle name="Comma 2 5 8" xfId="430"/>
    <cellStyle name="Comma 2 5 9" xfId="431"/>
    <cellStyle name="Comma 2 6" xfId="432"/>
    <cellStyle name="Comma 2 6 10" xfId="433"/>
    <cellStyle name="Comma 2 6 11" xfId="434"/>
    <cellStyle name="Comma 2 6 12" xfId="435"/>
    <cellStyle name="Comma 2 6 13" xfId="436"/>
    <cellStyle name="Comma 2 6 14" xfId="437"/>
    <cellStyle name="Comma 2 6 15" xfId="438"/>
    <cellStyle name="Comma 2 6 16" xfId="439"/>
    <cellStyle name="Comma 2 6 17" xfId="440"/>
    <cellStyle name="Comma 2 6 18" xfId="441"/>
    <cellStyle name="Comma 2 6 19" xfId="442"/>
    <cellStyle name="Comma 2 6 2" xfId="443"/>
    <cellStyle name="Comma 2 6 20" xfId="444"/>
    <cellStyle name="Comma 2 6 21" xfId="445"/>
    <cellStyle name="Comma 2 6 22" xfId="446"/>
    <cellStyle name="Comma 2 6 23" xfId="447"/>
    <cellStyle name="Comma 2 6 24" xfId="448"/>
    <cellStyle name="Comma 2 6 25" xfId="449"/>
    <cellStyle name="Comma 2 6 26" xfId="450"/>
    <cellStyle name="Comma 2 6 27" xfId="451"/>
    <cellStyle name="Comma 2 6 28" xfId="452"/>
    <cellStyle name="Comma 2 6 29" xfId="453"/>
    <cellStyle name="Comma 2 6 3" xfId="454"/>
    <cellStyle name="Comma 2 6 30" xfId="455"/>
    <cellStyle name="Comma 2 6 31" xfId="456"/>
    <cellStyle name="Comma 2 6 32" xfId="457"/>
    <cellStyle name="Comma 2 6 33" xfId="458"/>
    <cellStyle name="Comma 2 6 34" xfId="459"/>
    <cellStyle name="Comma 2 6 35" xfId="460"/>
    <cellStyle name="Comma 2 6 36" xfId="461"/>
    <cellStyle name="Comma 2 6 37" xfId="462"/>
    <cellStyle name="Comma 2 6 38" xfId="463"/>
    <cellStyle name="Comma 2 6 39" xfId="464"/>
    <cellStyle name="Comma 2 6 4" xfId="465"/>
    <cellStyle name="Comma 2 6 40" xfId="466"/>
    <cellStyle name="Comma 2 6 41" xfId="467"/>
    <cellStyle name="Comma 2 6 42" xfId="468"/>
    <cellStyle name="Comma 2 6 5" xfId="469"/>
    <cellStyle name="Comma 2 6 6" xfId="470"/>
    <cellStyle name="Comma 2 6 7" xfId="471"/>
    <cellStyle name="Comma 2 6 8" xfId="472"/>
    <cellStyle name="Comma 2 6 9" xfId="473"/>
    <cellStyle name="Comma 2 7" xfId="474"/>
    <cellStyle name="Comma 2 7 10" xfId="475"/>
    <cellStyle name="Comma 2 7 11" xfId="476"/>
    <cellStyle name="Comma 2 7 12" xfId="477"/>
    <cellStyle name="Comma 2 7 13" xfId="478"/>
    <cellStyle name="Comma 2 7 14" xfId="479"/>
    <cellStyle name="Comma 2 7 15" xfId="480"/>
    <cellStyle name="Comma 2 7 16" xfId="481"/>
    <cellStyle name="Comma 2 7 17" xfId="482"/>
    <cellStyle name="Comma 2 7 18" xfId="483"/>
    <cellStyle name="Comma 2 7 19" xfId="484"/>
    <cellStyle name="Comma 2 7 2" xfId="485"/>
    <cellStyle name="Comma 2 7 20" xfId="486"/>
    <cellStyle name="Comma 2 7 21" xfId="487"/>
    <cellStyle name="Comma 2 7 22" xfId="488"/>
    <cellStyle name="Comma 2 7 23" xfId="489"/>
    <cellStyle name="Comma 2 7 24" xfId="490"/>
    <cellStyle name="Comma 2 7 25" xfId="491"/>
    <cellStyle name="Comma 2 7 26" xfId="492"/>
    <cellStyle name="Comma 2 7 27" xfId="493"/>
    <cellStyle name="Comma 2 7 28" xfId="494"/>
    <cellStyle name="Comma 2 7 29" xfId="495"/>
    <cellStyle name="Comma 2 7 3" xfId="496"/>
    <cellStyle name="Comma 2 7 30" xfId="497"/>
    <cellStyle name="Comma 2 7 31" xfId="498"/>
    <cellStyle name="Comma 2 7 32" xfId="499"/>
    <cellStyle name="Comma 2 7 33" xfId="500"/>
    <cellStyle name="Comma 2 7 34" xfId="501"/>
    <cellStyle name="Comma 2 7 35" xfId="502"/>
    <cellStyle name="Comma 2 7 36" xfId="503"/>
    <cellStyle name="Comma 2 7 37" xfId="504"/>
    <cellStyle name="Comma 2 7 38" xfId="505"/>
    <cellStyle name="Comma 2 7 39" xfId="506"/>
    <cellStyle name="Comma 2 7 4" xfId="507"/>
    <cellStyle name="Comma 2 7 40" xfId="508"/>
    <cellStyle name="Comma 2 7 41" xfId="509"/>
    <cellStyle name="Comma 2 7 42" xfId="510"/>
    <cellStyle name="Comma 2 7 5" xfId="511"/>
    <cellStyle name="Comma 2 7 6" xfId="512"/>
    <cellStyle name="Comma 2 7 7" xfId="513"/>
    <cellStyle name="Comma 2 7 8" xfId="514"/>
    <cellStyle name="Comma 2 7 9" xfId="515"/>
    <cellStyle name="Comma 2 8" xfId="516"/>
    <cellStyle name="Comma 2 8 10" xfId="517"/>
    <cellStyle name="Comma 2 8 11" xfId="518"/>
    <cellStyle name="Comma 2 8 12" xfId="519"/>
    <cellStyle name="Comma 2 8 13" xfId="520"/>
    <cellStyle name="Comma 2 8 14" xfId="521"/>
    <cellStyle name="Comma 2 8 15" xfId="522"/>
    <cellStyle name="Comma 2 8 16" xfId="523"/>
    <cellStyle name="Comma 2 8 17" xfId="524"/>
    <cellStyle name="Comma 2 8 18" xfId="525"/>
    <cellStyle name="Comma 2 8 19" xfId="526"/>
    <cellStyle name="Comma 2 8 2" xfId="527"/>
    <cellStyle name="Comma 2 8 20" xfId="528"/>
    <cellStyle name="Comma 2 8 21" xfId="529"/>
    <cellStyle name="Comma 2 8 22" xfId="530"/>
    <cellStyle name="Comma 2 8 23" xfId="531"/>
    <cellStyle name="Comma 2 8 24" xfId="532"/>
    <cellStyle name="Comma 2 8 25" xfId="533"/>
    <cellStyle name="Comma 2 8 26" xfId="534"/>
    <cellStyle name="Comma 2 8 27" xfId="535"/>
    <cellStyle name="Comma 2 8 28" xfId="536"/>
    <cellStyle name="Comma 2 8 29" xfId="537"/>
    <cellStyle name="Comma 2 8 3" xfId="538"/>
    <cellStyle name="Comma 2 8 30" xfId="539"/>
    <cellStyle name="Comma 2 8 31" xfId="540"/>
    <cellStyle name="Comma 2 8 32" xfId="541"/>
    <cellStyle name="Comma 2 8 33" xfId="542"/>
    <cellStyle name="Comma 2 8 34" xfId="543"/>
    <cellStyle name="Comma 2 8 35" xfId="544"/>
    <cellStyle name="Comma 2 8 36" xfId="545"/>
    <cellStyle name="Comma 2 8 37" xfId="546"/>
    <cellStyle name="Comma 2 8 38" xfId="547"/>
    <cellStyle name="Comma 2 8 39" xfId="548"/>
    <cellStyle name="Comma 2 8 4" xfId="549"/>
    <cellStyle name="Comma 2 8 40" xfId="550"/>
    <cellStyle name="Comma 2 8 41" xfId="551"/>
    <cellStyle name="Comma 2 8 42" xfId="552"/>
    <cellStyle name="Comma 2 8 5" xfId="553"/>
    <cellStyle name="Comma 2 8 6" xfId="554"/>
    <cellStyle name="Comma 2 8 7" xfId="555"/>
    <cellStyle name="Comma 2 8 8" xfId="556"/>
    <cellStyle name="Comma 2 8 9" xfId="557"/>
    <cellStyle name="Comma 2 9" xfId="558"/>
    <cellStyle name="Comma 2 9 10" xfId="559"/>
    <cellStyle name="Comma 2 9 11" xfId="560"/>
    <cellStyle name="Comma 2 9 12" xfId="561"/>
    <cellStyle name="Comma 2 9 13" xfId="562"/>
    <cellStyle name="Comma 2 9 14" xfId="563"/>
    <cellStyle name="Comma 2 9 15" xfId="564"/>
    <cellStyle name="Comma 2 9 16" xfId="565"/>
    <cellStyle name="Comma 2 9 17" xfId="566"/>
    <cellStyle name="Comma 2 9 18" xfId="567"/>
    <cellStyle name="Comma 2 9 19" xfId="568"/>
    <cellStyle name="Comma 2 9 2" xfId="569"/>
    <cellStyle name="Comma 2 9 20" xfId="570"/>
    <cellStyle name="Comma 2 9 21" xfId="571"/>
    <cellStyle name="Comma 2 9 22" xfId="572"/>
    <cellStyle name="Comma 2 9 23" xfId="573"/>
    <cellStyle name="Comma 2 9 24" xfId="574"/>
    <cellStyle name="Comma 2 9 25" xfId="575"/>
    <cellStyle name="Comma 2 9 26" xfId="576"/>
    <cellStyle name="Comma 2 9 27" xfId="577"/>
    <cellStyle name="Comma 2 9 28" xfId="578"/>
    <cellStyle name="Comma 2 9 29" xfId="579"/>
    <cellStyle name="Comma 2 9 3" xfId="580"/>
    <cellStyle name="Comma 2 9 30" xfId="581"/>
    <cellStyle name="Comma 2 9 31" xfId="582"/>
    <cellStyle name="Comma 2 9 32" xfId="583"/>
    <cellStyle name="Comma 2 9 33" xfId="584"/>
    <cellStyle name="Comma 2 9 34" xfId="585"/>
    <cellStyle name="Comma 2 9 35" xfId="586"/>
    <cellStyle name="Comma 2 9 36" xfId="587"/>
    <cellStyle name="Comma 2 9 37" xfId="588"/>
    <cellStyle name="Comma 2 9 38" xfId="589"/>
    <cellStyle name="Comma 2 9 39" xfId="590"/>
    <cellStyle name="Comma 2 9 4" xfId="591"/>
    <cellStyle name="Comma 2 9 40" xfId="592"/>
    <cellStyle name="Comma 2 9 41" xfId="593"/>
    <cellStyle name="Comma 2 9 42" xfId="594"/>
    <cellStyle name="Comma 2 9 5" xfId="595"/>
    <cellStyle name="Comma 2 9 6" xfId="596"/>
    <cellStyle name="Comma 2 9 7" xfId="597"/>
    <cellStyle name="Comma 2 9 8" xfId="598"/>
    <cellStyle name="Comma 2 9 9" xfId="599"/>
    <cellStyle name="Comma 2_DISTRIBUTION INPUT" xfId="600"/>
    <cellStyle name="Comma 20" xfId="601"/>
    <cellStyle name="Comma 21" xfId="602"/>
    <cellStyle name="Comma 22" xfId="603"/>
    <cellStyle name="Comma 22 10" xfId="604"/>
    <cellStyle name="Comma 22 11" xfId="605"/>
    <cellStyle name="Comma 22 12" xfId="606"/>
    <cellStyle name="Comma 22 13" xfId="607"/>
    <cellStyle name="Comma 22 14" xfId="608"/>
    <cellStyle name="Comma 22 15" xfId="609"/>
    <cellStyle name="Comma 22 16" xfId="610"/>
    <cellStyle name="Comma 22 17" xfId="611"/>
    <cellStyle name="Comma 22 18" xfId="612"/>
    <cellStyle name="Comma 22 19" xfId="613"/>
    <cellStyle name="Comma 22 2" xfId="614"/>
    <cellStyle name="Comma 22 20" xfId="615"/>
    <cellStyle name="Comma 22 21" xfId="616"/>
    <cellStyle name="Comma 22 3" xfId="617"/>
    <cellStyle name="Comma 22 4" xfId="618"/>
    <cellStyle name="Comma 22 5" xfId="619"/>
    <cellStyle name="Comma 22 6" xfId="620"/>
    <cellStyle name="Comma 22 7" xfId="621"/>
    <cellStyle name="Comma 22 8" xfId="622"/>
    <cellStyle name="Comma 22 9" xfId="623"/>
    <cellStyle name="Comma 23" xfId="624"/>
    <cellStyle name="Comma 3" xfId="625"/>
    <cellStyle name="Comma 3 10" xfId="626"/>
    <cellStyle name="Comma 3 10 10" xfId="627"/>
    <cellStyle name="Comma 3 10 11" xfId="628"/>
    <cellStyle name="Comma 3 10 12" xfId="629"/>
    <cellStyle name="Comma 3 10 13" xfId="630"/>
    <cellStyle name="Comma 3 10 14" xfId="631"/>
    <cellStyle name="Comma 3 10 15" xfId="632"/>
    <cellStyle name="Comma 3 10 16" xfId="633"/>
    <cellStyle name="Comma 3 10 17" xfId="634"/>
    <cellStyle name="Comma 3 10 18" xfId="635"/>
    <cellStyle name="Comma 3 10 19" xfId="636"/>
    <cellStyle name="Comma 3 10 2" xfId="637"/>
    <cellStyle name="Comma 3 10 20" xfId="638"/>
    <cellStyle name="Comma 3 10 21" xfId="639"/>
    <cellStyle name="Comma 3 10 22" xfId="640"/>
    <cellStyle name="Comma 3 10 23" xfId="641"/>
    <cellStyle name="Comma 3 10 24" xfId="642"/>
    <cellStyle name="Comma 3 10 25" xfId="643"/>
    <cellStyle name="Comma 3 10 26" xfId="644"/>
    <cellStyle name="Comma 3 10 27" xfId="645"/>
    <cellStyle name="Comma 3 10 28" xfId="646"/>
    <cellStyle name="Comma 3 10 29" xfId="647"/>
    <cellStyle name="Comma 3 10 3" xfId="648"/>
    <cellStyle name="Comma 3 10 30" xfId="649"/>
    <cellStyle name="Comma 3 10 31" xfId="650"/>
    <cellStyle name="Comma 3 10 32" xfId="651"/>
    <cellStyle name="Comma 3 10 33" xfId="652"/>
    <cellStyle name="Comma 3 10 34" xfId="653"/>
    <cellStyle name="Comma 3 10 35" xfId="654"/>
    <cellStyle name="Comma 3 10 36" xfId="655"/>
    <cellStyle name="Comma 3 10 37" xfId="656"/>
    <cellStyle name="Comma 3 10 38" xfId="657"/>
    <cellStyle name="Comma 3 10 39" xfId="658"/>
    <cellStyle name="Comma 3 10 4" xfId="659"/>
    <cellStyle name="Comma 3 10 40" xfId="660"/>
    <cellStyle name="Comma 3 10 41" xfId="661"/>
    <cellStyle name="Comma 3 10 42" xfId="662"/>
    <cellStyle name="Comma 3 10 5" xfId="663"/>
    <cellStyle name="Comma 3 10 6" xfId="664"/>
    <cellStyle name="Comma 3 10 7" xfId="665"/>
    <cellStyle name="Comma 3 10 8" xfId="666"/>
    <cellStyle name="Comma 3 10 9" xfId="667"/>
    <cellStyle name="Comma 3 11" xfId="668"/>
    <cellStyle name="Comma 3 11 2" xfId="669"/>
    <cellStyle name="Comma 3 11 3" xfId="670"/>
    <cellStyle name="Comma 3 11 4" xfId="671"/>
    <cellStyle name="Comma 3 11 5" xfId="672"/>
    <cellStyle name="Comma 3 11 6" xfId="673"/>
    <cellStyle name="Comma 3 11 7" xfId="674"/>
    <cellStyle name="Comma 3 12" xfId="675"/>
    <cellStyle name="Comma 3 12 2" xfId="676"/>
    <cellStyle name="Comma 3 12 3" xfId="677"/>
    <cellStyle name="Comma 3 12 4" xfId="678"/>
    <cellStyle name="Comma 3 12 5" xfId="679"/>
    <cellStyle name="Comma 3 12 6" xfId="680"/>
    <cellStyle name="Comma 3 12 7" xfId="681"/>
    <cellStyle name="Comma 3 13" xfId="682"/>
    <cellStyle name="Comma 3 13 2" xfId="683"/>
    <cellStyle name="Comma 3 13 3" xfId="684"/>
    <cellStyle name="Comma 3 13 4" xfId="685"/>
    <cellStyle name="Comma 3 13 5" xfId="686"/>
    <cellStyle name="Comma 3 13 6" xfId="687"/>
    <cellStyle name="Comma 3 13 7" xfId="688"/>
    <cellStyle name="Comma 3 14" xfId="689"/>
    <cellStyle name="Comma 3 14 2" xfId="690"/>
    <cellStyle name="Comma 3 14 3" xfId="691"/>
    <cellStyle name="Comma 3 14 4" xfId="692"/>
    <cellStyle name="Comma 3 14 5" xfId="693"/>
    <cellStyle name="Comma 3 14 6" xfId="694"/>
    <cellStyle name="Comma 3 14 7" xfId="695"/>
    <cellStyle name="Comma 3 15" xfId="696"/>
    <cellStyle name="Comma 3 15 2" xfId="697"/>
    <cellStyle name="Comma 3 15 3" xfId="698"/>
    <cellStyle name="Comma 3 15 4" xfId="699"/>
    <cellStyle name="Comma 3 15 5" xfId="700"/>
    <cellStyle name="Comma 3 15 6" xfId="701"/>
    <cellStyle name="Comma 3 15 7" xfId="702"/>
    <cellStyle name="Comma 3 16" xfId="703"/>
    <cellStyle name="Comma 3 16 2" xfId="704"/>
    <cellStyle name="Comma 3 16 3" xfId="705"/>
    <cellStyle name="Comma 3 16 4" xfId="706"/>
    <cellStyle name="Comma 3 16 5" xfId="707"/>
    <cellStyle name="Comma 3 16 6" xfId="708"/>
    <cellStyle name="Comma 3 16 7" xfId="709"/>
    <cellStyle name="Comma 3 17" xfId="710"/>
    <cellStyle name="Comma 3 17 2" xfId="711"/>
    <cellStyle name="Comma 3 17 3" xfId="712"/>
    <cellStyle name="Comma 3 17 4" xfId="713"/>
    <cellStyle name="Comma 3 17 5" xfId="714"/>
    <cellStyle name="Comma 3 17 6" xfId="715"/>
    <cellStyle name="Comma 3 17 7" xfId="716"/>
    <cellStyle name="Comma 3 18" xfId="717"/>
    <cellStyle name="Comma 3 18 2" xfId="718"/>
    <cellStyle name="Comma 3 18 3" xfId="719"/>
    <cellStyle name="Comma 3 18 4" xfId="720"/>
    <cellStyle name="Comma 3 18 5" xfId="721"/>
    <cellStyle name="Comma 3 18 6" xfId="722"/>
    <cellStyle name="Comma 3 18 7" xfId="723"/>
    <cellStyle name="Comma 3 19" xfId="724"/>
    <cellStyle name="Comma 3 19 2" xfId="725"/>
    <cellStyle name="Comma 3 19 3" xfId="726"/>
    <cellStyle name="Comma 3 19 4" xfId="727"/>
    <cellStyle name="Comma 3 19 5" xfId="728"/>
    <cellStyle name="Comma 3 19 6" xfId="729"/>
    <cellStyle name="Comma 3 19 7" xfId="730"/>
    <cellStyle name="Comma 3 2" xfId="731"/>
    <cellStyle name="Comma 3 2 10" xfId="732"/>
    <cellStyle name="Comma 3 2 11" xfId="733"/>
    <cellStyle name="Comma 3 2 12" xfId="734"/>
    <cellStyle name="Comma 3 2 13" xfId="735"/>
    <cellStyle name="Comma 3 2 14" xfId="736"/>
    <cellStyle name="Comma 3 2 15" xfId="737"/>
    <cellStyle name="Comma 3 2 16" xfId="738"/>
    <cellStyle name="Comma 3 2 17" xfId="739"/>
    <cellStyle name="Comma 3 2 18" xfId="740"/>
    <cellStyle name="Comma 3 2 19" xfId="741"/>
    <cellStyle name="Comma 3 2 2" xfId="742"/>
    <cellStyle name="Comma 3 2 20" xfId="743"/>
    <cellStyle name="Comma 3 2 21" xfId="744"/>
    <cellStyle name="Comma 3 2 22" xfId="745"/>
    <cellStyle name="Comma 3 2 23" xfId="746"/>
    <cellStyle name="Comma 3 2 24" xfId="747"/>
    <cellStyle name="Comma 3 2 25" xfId="748"/>
    <cellStyle name="Comma 3 2 26" xfId="749"/>
    <cellStyle name="Comma 3 2 27" xfId="750"/>
    <cellStyle name="Comma 3 2 28" xfId="751"/>
    <cellStyle name="Comma 3 2 29" xfId="752"/>
    <cellStyle name="Comma 3 2 3" xfId="753"/>
    <cellStyle name="Comma 3 2 30" xfId="754"/>
    <cellStyle name="Comma 3 2 31" xfId="755"/>
    <cellStyle name="Comma 3 2 32" xfId="756"/>
    <cellStyle name="Comma 3 2 33" xfId="757"/>
    <cellStyle name="Comma 3 2 34" xfId="758"/>
    <cellStyle name="Comma 3 2 35" xfId="759"/>
    <cellStyle name="Comma 3 2 36" xfId="760"/>
    <cellStyle name="Comma 3 2 37" xfId="761"/>
    <cellStyle name="Comma 3 2 38" xfId="762"/>
    <cellStyle name="Comma 3 2 39" xfId="763"/>
    <cellStyle name="Comma 3 2 4" xfId="764"/>
    <cellStyle name="Comma 3 2 40" xfId="765"/>
    <cellStyle name="Comma 3 2 41" xfId="766"/>
    <cellStyle name="Comma 3 2 42" xfId="767"/>
    <cellStyle name="Comma 3 2 5" xfId="768"/>
    <cellStyle name="Comma 3 2 6" xfId="769"/>
    <cellStyle name="Comma 3 2 7" xfId="770"/>
    <cellStyle name="Comma 3 2 8" xfId="771"/>
    <cellStyle name="Comma 3 2 9" xfId="772"/>
    <cellStyle name="Comma 3 20" xfId="773"/>
    <cellStyle name="Comma 3 20 2" xfId="774"/>
    <cellStyle name="Comma 3 20 3" xfId="775"/>
    <cellStyle name="Comma 3 20 4" xfId="776"/>
    <cellStyle name="Comma 3 20 5" xfId="777"/>
    <cellStyle name="Comma 3 20 6" xfId="778"/>
    <cellStyle name="Comma 3 20 7" xfId="779"/>
    <cellStyle name="Comma 3 21" xfId="780"/>
    <cellStyle name="Comma 3 21 2" xfId="781"/>
    <cellStyle name="Comma 3 21 3" xfId="782"/>
    <cellStyle name="Comma 3 21 4" xfId="783"/>
    <cellStyle name="Comma 3 21 5" xfId="784"/>
    <cellStyle name="Comma 3 21 6" xfId="785"/>
    <cellStyle name="Comma 3 21 7" xfId="786"/>
    <cellStyle name="Comma 3 22" xfId="787"/>
    <cellStyle name="Comma 3 22 2" xfId="788"/>
    <cellStyle name="Comma 3 22 3" xfId="789"/>
    <cellStyle name="Comma 3 22 4" xfId="790"/>
    <cellStyle name="Comma 3 22 5" xfId="791"/>
    <cellStyle name="Comma 3 22 6" xfId="792"/>
    <cellStyle name="Comma 3 22 7" xfId="793"/>
    <cellStyle name="Comma 3 23" xfId="794"/>
    <cellStyle name="Comma 3 23 2" xfId="795"/>
    <cellStyle name="Comma 3 23 3" xfId="796"/>
    <cellStyle name="Comma 3 23 4" xfId="797"/>
    <cellStyle name="Comma 3 23 5" xfId="798"/>
    <cellStyle name="Comma 3 23 6" xfId="799"/>
    <cellStyle name="Comma 3 23 7" xfId="800"/>
    <cellStyle name="Comma 3 24" xfId="801"/>
    <cellStyle name="Comma 3 24 2" xfId="802"/>
    <cellStyle name="Comma 3 24 3" xfId="803"/>
    <cellStyle name="Comma 3 24 4" xfId="804"/>
    <cellStyle name="Comma 3 24 5" xfId="805"/>
    <cellStyle name="Comma 3 24 6" xfId="806"/>
    <cellStyle name="Comma 3 24 7" xfId="807"/>
    <cellStyle name="Comma 3 25" xfId="808"/>
    <cellStyle name="Comma 3 25 2" xfId="809"/>
    <cellStyle name="Comma 3 25 3" xfId="810"/>
    <cellStyle name="Comma 3 25 4" xfId="811"/>
    <cellStyle name="Comma 3 25 5" xfId="812"/>
    <cellStyle name="Comma 3 25 6" xfId="813"/>
    <cellStyle name="Comma 3 25 7" xfId="814"/>
    <cellStyle name="Comma 3 26" xfId="815"/>
    <cellStyle name="Comma 3 26 2" xfId="816"/>
    <cellStyle name="Comma 3 26 3" xfId="817"/>
    <cellStyle name="Comma 3 26 4" xfId="818"/>
    <cellStyle name="Comma 3 26 5" xfId="819"/>
    <cellStyle name="Comma 3 26 6" xfId="820"/>
    <cellStyle name="Comma 3 26 7" xfId="821"/>
    <cellStyle name="Comma 3 27" xfId="822"/>
    <cellStyle name="Comma 3 27 2" xfId="823"/>
    <cellStyle name="Comma 3 27 3" xfId="824"/>
    <cellStyle name="Comma 3 27 4" xfId="825"/>
    <cellStyle name="Comma 3 27 5" xfId="826"/>
    <cellStyle name="Comma 3 27 6" xfId="827"/>
    <cellStyle name="Comma 3 27 7" xfId="828"/>
    <cellStyle name="Comma 3 28" xfId="829"/>
    <cellStyle name="Comma 3 28 2" xfId="830"/>
    <cellStyle name="Comma 3 28 3" xfId="831"/>
    <cellStyle name="Comma 3 28 4" xfId="832"/>
    <cellStyle name="Comma 3 28 5" xfId="833"/>
    <cellStyle name="Comma 3 28 6" xfId="834"/>
    <cellStyle name="Comma 3 28 7" xfId="835"/>
    <cellStyle name="Comma 3 29" xfId="836"/>
    <cellStyle name="Comma 3 29 2" xfId="837"/>
    <cellStyle name="Comma 3 29 3" xfId="838"/>
    <cellStyle name="Comma 3 29 4" xfId="839"/>
    <cellStyle name="Comma 3 29 5" xfId="840"/>
    <cellStyle name="Comma 3 29 6" xfId="841"/>
    <cellStyle name="Comma 3 29 7" xfId="842"/>
    <cellStyle name="Comma 3 3" xfId="843"/>
    <cellStyle name="Comma 3 3 10" xfId="844"/>
    <cellStyle name="Comma 3 3 11" xfId="845"/>
    <cellStyle name="Comma 3 3 12" xfId="846"/>
    <cellStyle name="Comma 3 3 13" xfId="847"/>
    <cellStyle name="Comma 3 3 14" xfId="848"/>
    <cellStyle name="Comma 3 3 15" xfId="849"/>
    <cellStyle name="Comma 3 3 16" xfId="850"/>
    <cellStyle name="Comma 3 3 17" xfId="851"/>
    <cellStyle name="Comma 3 3 18" xfId="852"/>
    <cellStyle name="Comma 3 3 19" xfId="853"/>
    <cellStyle name="Comma 3 3 2" xfId="854"/>
    <cellStyle name="Comma 3 3 20" xfId="855"/>
    <cellStyle name="Comma 3 3 21" xfId="856"/>
    <cellStyle name="Comma 3 3 22" xfId="857"/>
    <cellStyle name="Comma 3 3 23" xfId="858"/>
    <cellStyle name="Comma 3 3 24" xfId="859"/>
    <cellStyle name="Comma 3 3 25" xfId="860"/>
    <cellStyle name="Comma 3 3 26" xfId="861"/>
    <cellStyle name="Comma 3 3 27" xfId="862"/>
    <cellStyle name="Comma 3 3 28" xfId="863"/>
    <cellStyle name="Comma 3 3 29" xfId="864"/>
    <cellStyle name="Comma 3 3 3" xfId="865"/>
    <cellStyle name="Comma 3 3 30" xfId="866"/>
    <cellStyle name="Comma 3 3 31" xfId="867"/>
    <cellStyle name="Comma 3 3 32" xfId="868"/>
    <cellStyle name="Comma 3 3 33" xfId="869"/>
    <cellStyle name="Comma 3 3 34" xfId="870"/>
    <cellStyle name="Comma 3 3 35" xfId="871"/>
    <cellStyle name="Comma 3 3 36" xfId="872"/>
    <cellStyle name="Comma 3 3 37" xfId="873"/>
    <cellStyle name="Comma 3 3 38" xfId="874"/>
    <cellStyle name="Comma 3 3 39" xfId="875"/>
    <cellStyle name="Comma 3 3 4" xfId="876"/>
    <cellStyle name="Comma 3 3 40" xfId="877"/>
    <cellStyle name="Comma 3 3 41" xfId="878"/>
    <cellStyle name="Comma 3 3 42" xfId="879"/>
    <cellStyle name="Comma 3 3 5" xfId="880"/>
    <cellStyle name="Comma 3 3 6" xfId="881"/>
    <cellStyle name="Comma 3 3 7" xfId="882"/>
    <cellStyle name="Comma 3 3 8" xfId="883"/>
    <cellStyle name="Comma 3 3 9" xfId="884"/>
    <cellStyle name="Comma 3 30" xfId="885"/>
    <cellStyle name="Comma 3 30 2" xfId="886"/>
    <cellStyle name="Comma 3 30 3" xfId="887"/>
    <cellStyle name="Comma 3 30 4" xfId="888"/>
    <cellStyle name="Comma 3 30 5" xfId="889"/>
    <cellStyle name="Comma 3 30 6" xfId="890"/>
    <cellStyle name="Comma 3 30 7" xfId="891"/>
    <cellStyle name="Comma 3 31" xfId="892"/>
    <cellStyle name="Comma 3 31 2" xfId="893"/>
    <cellStyle name="Comma 3 31 3" xfId="894"/>
    <cellStyle name="Comma 3 31 4" xfId="895"/>
    <cellStyle name="Comma 3 31 5" xfId="896"/>
    <cellStyle name="Comma 3 31 6" xfId="897"/>
    <cellStyle name="Comma 3 31 7" xfId="898"/>
    <cellStyle name="Comma 3 32" xfId="899"/>
    <cellStyle name="Comma 3 32 2" xfId="900"/>
    <cellStyle name="Comma 3 32 3" xfId="901"/>
    <cellStyle name="Comma 3 32 4" xfId="902"/>
    <cellStyle name="Comma 3 32 5" xfId="903"/>
    <cellStyle name="Comma 3 32 6" xfId="904"/>
    <cellStyle name="Comma 3 32 7" xfId="905"/>
    <cellStyle name="Comma 3 33" xfId="906"/>
    <cellStyle name="Comma 3 33 2" xfId="907"/>
    <cellStyle name="Comma 3 33 3" xfId="908"/>
    <cellStyle name="Comma 3 33 4" xfId="909"/>
    <cellStyle name="Comma 3 33 5" xfId="910"/>
    <cellStyle name="Comma 3 33 6" xfId="911"/>
    <cellStyle name="Comma 3 33 7" xfId="912"/>
    <cellStyle name="Comma 3 34" xfId="913"/>
    <cellStyle name="Comma 3 34 2" xfId="914"/>
    <cellStyle name="Comma 3 34 3" xfId="915"/>
    <cellStyle name="Comma 3 34 4" xfId="916"/>
    <cellStyle name="Comma 3 34 5" xfId="917"/>
    <cellStyle name="Comma 3 34 6" xfId="918"/>
    <cellStyle name="Comma 3 34 7" xfId="919"/>
    <cellStyle name="Comma 3 35" xfId="920"/>
    <cellStyle name="Comma 3 35 2" xfId="921"/>
    <cellStyle name="Comma 3 35 3" xfId="922"/>
    <cellStyle name="Comma 3 35 4" xfId="923"/>
    <cellStyle name="Comma 3 35 5" xfId="924"/>
    <cellStyle name="Comma 3 35 6" xfId="925"/>
    <cellStyle name="Comma 3 35 7" xfId="926"/>
    <cellStyle name="Comma 3 36" xfId="927"/>
    <cellStyle name="Comma 3 36 2" xfId="928"/>
    <cellStyle name="Comma 3 36 3" xfId="929"/>
    <cellStyle name="Comma 3 36 4" xfId="930"/>
    <cellStyle name="Comma 3 36 5" xfId="931"/>
    <cellStyle name="Comma 3 36 6" xfId="932"/>
    <cellStyle name="Comma 3 36 7" xfId="933"/>
    <cellStyle name="Comma 3 37" xfId="934"/>
    <cellStyle name="Comma 3 37 2" xfId="935"/>
    <cellStyle name="Comma 3 37 3" xfId="936"/>
    <cellStyle name="Comma 3 37 4" xfId="937"/>
    <cellStyle name="Comma 3 37 5" xfId="938"/>
    <cellStyle name="Comma 3 37 6" xfId="939"/>
    <cellStyle name="Comma 3 37 7" xfId="940"/>
    <cellStyle name="Comma 3 38" xfId="941"/>
    <cellStyle name="Comma 3 38 2" xfId="942"/>
    <cellStyle name="Comma 3 38 3" xfId="943"/>
    <cellStyle name="Comma 3 38 4" xfId="944"/>
    <cellStyle name="Comma 3 38 5" xfId="945"/>
    <cellStyle name="Comma 3 38 6" xfId="946"/>
    <cellStyle name="Comma 3 38 7" xfId="947"/>
    <cellStyle name="Comma 3 39" xfId="948"/>
    <cellStyle name="Comma 3 39 2" xfId="949"/>
    <cellStyle name="Comma 3 39 3" xfId="950"/>
    <cellStyle name="Comma 3 39 4" xfId="951"/>
    <cellStyle name="Comma 3 39 5" xfId="952"/>
    <cellStyle name="Comma 3 39 6" xfId="953"/>
    <cellStyle name="Comma 3 39 7" xfId="954"/>
    <cellStyle name="Comma 3 4" xfId="955"/>
    <cellStyle name="Comma 3 4 10" xfId="956"/>
    <cellStyle name="Comma 3 4 11" xfId="957"/>
    <cellStyle name="Comma 3 4 12" xfId="958"/>
    <cellStyle name="Comma 3 4 13" xfId="959"/>
    <cellStyle name="Comma 3 4 14" xfId="960"/>
    <cellStyle name="Comma 3 4 15" xfId="961"/>
    <cellStyle name="Comma 3 4 16" xfId="962"/>
    <cellStyle name="Comma 3 4 17" xfId="963"/>
    <cellStyle name="Comma 3 4 18" xfId="964"/>
    <cellStyle name="Comma 3 4 19" xfId="965"/>
    <cellStyle name="Comma 3 4 2" xfId="966"/>
    <cellStyle name="Comma 3 4 20" xfId="967"/>
    <cellStyle name="Comma 3 4 21" xfId="968"/>
    <cellStyle name="Comma 3 4 22" xfId="969"/>
    <cellStyle name="Comma 3 4 23" xfId="970"/>
    <cellStyle name="Comma 3 4 24" xfId="971"/>
    <cellStyle name="Comma 3 4 25" xfId="972"/>
    <cellStyle name="Comma 3 4 26" xfId="973"/>
    <cellStyle name="Comma 3 4 27" xfId="974"/>
    <cellStyle name="Comma 3 4 28" xfId="975"/>
    <cellStyle name="Comma 3 4 29" xfId="976"/>
    <cellStyle name="Comma 3 4 3" xfId="977"/>
    <cellStyle name="Comma 3 4 30" xfId="978"/>
    <cellStyle name="Comma 3 4 31" xfId="979"/>
    <cellStyle name="Comma 3 4 32" xfId="980"/>
    <cellStyle name="Comma 3 4 33" xfId="981"/>
    <cellStyle name="Comma 3 4 34" xfId="982"/>
    <cellStyle name="Comma 3 4 35" xfId="983"/>
    <cellStyle name="Comma 3 4 36" xfId="984"/>
    <cellStyle name="Comma 3 4 37" xfId="985"/>
    <cellStyle name="Comma 3 4 38" xfId="986"/>
    <cellStyle name="Comma 3 4 39" xfId="987"/>
    <cellStyle name="Comma 3 4 4" xfId="988"/>
    <cellStyle name="Comma 3 4 40" xfId="989"/>
    <cellStyle name="Comma 3 4 41" xfId="990"/>
    <cellStyle name="Comma 3 4 42" xfId="991"/>
    <cellStyle name="Comma 3 4 5" xfId="992"/>
    <cellStyle name="Comma 3 4 6" xfId="993"/>
    <cellStyle name="Comma 3 4 7" xfId="994"/>
    <cellStyle name="Comma 3 4 8" xfId="995"/>
    <cellStyle name="Comma 3 4 9" xfId="996"/>
    <cellStyle name="Comma 3 5" xfId="997"/>
    <cellStyle name="Comma 3 5 10" xfId="998"/>
    <cellStyle name="Comma 3 5 11" xfId="999"/>
    <cellStyle name="Comma 3 5 12" xfId="1000"/>
    <cellStyle name="Comma 3 5 13" xfId="1001"/>
    <cellStyle name="Comma 3 5 14" xfId="1002"/>
    <cellStyle name="Comma 3 5 15" xfId="1003"/>
    <cellStyle name="Comma 3 5 16" xfId="1004"/>
    <cellStyle name="Comma 3 5 17" xfId="1005"/>
    <cellStyle name="Comma 3 5 18" xfId="1006"/>
    <cellStyle name="Comma 3 5 19" xfId="1007"/>
    <cellStyle name="Comma 3 5 2" xfId="1008"/>
    <cellStyle name="Comma 3 5 20" xfId="1009"/>
    <cellStyle name="Comma 3 5 21" xfId="1010"/>
    <cellStyle name="Comma 3 5 22" xfId="1011"/>
    <cellStyle name="Comma 3 5 23" xfId="1012"/>
    <cellStyle name="Comma 3 5 24" xfId="1013"/>
    <cellStyle name="Comma 3 5 25" xfId="1014"/>
    <cellStyle name="Comma 3 5 26" xfId="1015"/>
    <cellStyle name="Comma 3 5 27" xfId="1016"/>
    <cellStyle name="Comma 3 5 28" xfId="1017"/>
    <cellStyle name="Comma 3 5 29" xfId="1018"/>
    <cellStyle name="Comma 3 5 3" xfId="1019"/>
    <cellStyle name="Comma 3 5 30" xfId="1020"/>
    <cellStyle name="Comma 3 5 31" xfId="1021"/>
    <cellStyle name="Comma 3 5 32" xfId="1022"/>
    <cellStyle name="Comma 3 5 33" xfId="1023"/>
    <cellStyle name="Comma 3 5 34" xfId="1024"/>
    <cellStyle name="Comma 3 5 35" xfId="1025"/>
    <cellStyle name="Comma 3 5 36" xfId="1026"/>
    <cellStyle name="Comma 3 5 37" xfId="1027"/>
    <cellStyle name="Comma 3 5 38" xfId="1028"/>
    <cellStyle name="Comma 3 5 39" xfId="1029"/>
    <cellStyle name="Comma 3 5 4" xfId="1030"/>
    <cellStyle name="Comma 3 5 40" xfId="1031"/>
    <cellStyle name="Comma 3 5 41" xfId="1032"/>
    <cellStyle name="Comma 3 5 42" xfId="1033"/>
    <cellStyle name="Comma 3 5 5" xfId="1034"/>
    <cellStyle name="Comma 3 5 6" xfId="1035"/>
    <cellStyle name="Comma 3 5 7" xfId="1036"/>
    <cellStyle name="Comma 3 5 8" xfId="1037"/>
    <cellStyle name="Comma 3 5 9" xfId="1038"/>
    <cellStyle name="Comma 3 6" xfId="1039"/>
    <cellStyle name="Comma 3 6 10" xfId="1040"/>
    <cellStyle name="Comma 3 6 11" xfId="1041"/>
    <cellStyle name="Comma 3 6 12" xfId="1042"/>
    <cellStyle name="Comma 3 6 13" xfId="1043"/>
    <cellStyle name="Comma 3 6 14" xfId="1044"/>
    <cellStyle name="Comma 3 6 15" xfId="1045"/>
    <cellStyle name="Comma 3 6 16" xfId="1046"/>
    <cellStyle name="Comma 3 6 17" xfId="1047"/>
    <cellStyle name="Comma 3 6 18" xfId="1048"/>
    <cellStyle name="Comma 3 6 19" xfId="1049"/>
    <cellStyle name="Comma 3 6 2" xfId="1050"/>
    <cellStyle name="Comma 3 6 20" xfId="1051"/>
    <cellStyle name="Comma 3 6 21" xfId="1052"/>
    <cellStyle name="Comma 3 6 22" xfId="1053"/>
    <cellStyle name="Comma 3 6 23" xfId="1054"/>
    <cellStyle name="Comma 3 6 24" xfId="1055"/>
    <cellStyle name="Comma 3 6 25" xfId="1056"/>
    <cellStyle name="Comma 3 6 26" xfId="1057"/>
    <cellStyle name="Comma 3 6 27" xfId="1058"/>
    <cellStyle name="Comma 3 6 28" xfId="1059"/>
    <cellStyle name="Comma 3 6 29" xfId="1060"/>
    <cellStyle name="Comma 3 6 3" xfId="1061"/>
    <cellStyle name="Comma 3 6 30" xfId="1062"/>
    <cellStyle name="Comma 3 6 31" xfId="1063"/>
    <cellStyle name="Comma 3 6 32" xfId="1064"/>
    <cellStyle name="Comma 3 6 33" xfId="1065"/>
    <cellStyle name="Comma 3 6 34" xfId="1066"/>
    <cellStyle name="Comma 3 6 35" xfId="1067"/>
    <cellStyle name="Comma 3 6 36" xfId="1068"/>
    <cellStyle name="Comma 3 6 37" xfId="1069"/>
    <cellStyle name="Comma 3 6 38" xfId="1070"/>
    <cellStyle name="Comma 3 6 39" xfId="1071"/>
    <cellStyle name="Comma 3 6 4" xfId="1072"/>
    <cellStyle name="Comma 3 6 40" xfId="1073"/>
    <cellStyle name="Comma 3 6 41" xfId="1074"/>
    <cellStyle name="Comma 3 6 42" xfId="1075"/>
    <cellStyle name="Comma 3 6 5" xfId="1076"/>
    <cellStyle name="Comma 3 6 6" xfId="1077"/>
    <cellStyle name="Comma 3 6 7" xfId="1078"/>
    <cellStyle name="Comma 3 6 8" xfId="1079"/>
    <cellStyle name="Comma 3 6 9" xfId="1080"/>
    <cellStyle name="Comma 3 7" xfId="1081"/>
    <cellStyle name="Comma 3 7 10" xfId="1082"/>
    <cellStyle name="Comma 3 7 11" xfId="1083"/>
    <cellStyle name="Comma 3 7 12" xfId="1084"/>
    <cellStyle name="Comma 3 7 13" xfId="1085"/>
    <cellStyle name="Comma 3 7 14" xfId="1086"/>
    <cellStyle name="Comma 3 7 15" xfId="1087"/>
    <cellStyle name="Comma 3 7 16" xfId="1088"/>
    <cellStyle name="Comma 3 7 17" xfId="1089"/>
    <cellStyle name="Comma 3 7 18" xfId="1090"/>
    <cellStyle name="Comma 3 7 19" xfId="1091"/>
    <cellStyle name="Comma 3 7 2" xfId="1092"/>
    <cellStyle name="Comma 3 7 20" xfId="1093"/>
    <cellStyle name="Comma 3 7 21" xfId="1094"/>
    <cellStyle name="Comma 3 7 22" xfId="1095"/>
    <cellStyle name="Comma 3 7 23" xfId="1096"/>
    <cellStyle name="Comma 3 7 24" xfId="1097"/>
    <cellStyle name="Comma 3 7 25" xfId="1098"/>
    <cellStyle name="Comma 3 7 26" xfId="1099"/>
    <cellStyle name="Comma 3 7 27" xfId="1100"/>
    <cellStyle name="Comma 3 7 28" xfId="1101"/>
    <cellStyle name="Comma 3 7 29" xfId="1102"/>
    <cellStyle name="Comma 3 7 3" xfId="1103"/>
    <cellStyle name="Comma 3 7 30" xfId="1104"/>
    <cellStyle name="Comma 3 7 31" xfId="1105"/>
    <cellStyle name="Comma 3 7 32" xfId="1106"/>
    <cellStyle name="Comma 3 7 33" xfId="1107"/>
    <cellStyle name="Comma 3 7 34" xfId="1108"/>
    <cellStyle name="Comma 3 7 35" xfId="1109"/>
    <cellStyle name="Comma 3 7 36" xfId="1110"/>
    <cellStyle name="Comma 3 7 37" xfId="1111"/>
    <cellStyle name="Comma 3 7 38" xfId="1112"/>
    <cellStyle name="Comma 3 7 39" xfId="1113"/>
    <cellStyle name="Comma 3 7 4" xfId="1114"/>
    <cellStyle name="Comma 3 7 40" xfId="1115"/>
    <cellStyle name="Comma 3 7 41" xfId="1116"/>
    <cellStyle name="Comma 3 7 42" xfId="1117"/>
    <cellStyle name="Comma 3 7 5" xfId="1118"/>
    <cellStyle name="Comma 3 7 6" xfId="1119"/>
    <cellStyle name="Comma 3 7 7" xfId="1120"/>
    <cellStyle name="Comma 3 7 8" xfId="1121"/>
    <cellStyle name="Comma 3 7 9" xfId="1122"/>
    <cellStyle name="Comma 3 8" xfId="1123"/>
    <cellStyle name="Comma 3 8 10" xfId="1124"/>
    <cellStyle name="Comma 3 8 11" xfId="1125"/>
    <cellStyle name="Comma 3 8 12" xfId="1126"/>
    <cellStyle name="Comma 3 8 13" xfId="1127"/>
    <cellStyle name="Comma 3 8 14" xfId="1128"/>
    <cellStyle name="Comma 3 8 15" xfId="1129"/>
    <cellStyle name="Comma 3 8 16" xfId="1130"/>
    <cellStyle name="Comma 3 8 17" xfId="1131"/>
    <cellStyle name="Comma 3 8 18" xfId="1132"/>
    <cellStyle name="Comma 3 8 19" xfId="1133"/>
    <cellStyle name="Comma 3 8 2" xfId="1134"/>
    <cellStyle name="Comma 3 8 20" xfId="1135"/>
    <cellStyle name="Comma 3 8 21" xfId="1136"/>
    <cellStyle name="Comma 3 8 22" xfId="1137"/>
    <cellStyle name="Comma 3 8 23" xfId="1138"/>
    <cellStyle name="Comma 3 8 24" xfId="1139"/>
    <cellStyle name="Comma 3 8 25" xfId="1140"/>
    <cellStyle name="Comma 3 8 26" xfId="1141"/>
    <cellStyle name="Comma 3 8 27" xfId="1142"/>
    <cellStyle name="Comma 3 8 28" xfId="1143"/>
    <cellStyle name="Comma 3 8 29" xfId="1144"/>
    <cellStyle name="Comma 3 8 3" xfId="1145"/>
    <cellStyle name="Comma 3 8 30" xfId="1146"/>
    <cellStyle name="Comma 3 8 31" xfId="1147"/>
    <cellStyle name="Comma 3 8 32" xfId="1148"/>
    <cellStyle name="Comma 3 8 33" xfId="1149"/>
    <cellStyle name="Comma 3 8 34" xfId="1150"/>
    <cellStyle name="Comma 3 8 35" xfId="1151"/>
    <cellStyle name="Comma 3 8 36" xfId="1152"/>
    <cellStyle name="Comma 3 8 37" xfId="1153"/>
    <cellStyle name="Comma 3 8 38" xfId="1154"/>
    <cellStyle name="Comma 3 8 39" xfId="1155"/>
    <cellStyle name="Comma 3 8 4" xfId="1156"/>
    <cellStyle name="Comma 3 8 40" xfId="1157"/>
    <cellStyle name="Comma 3 8 41" xfId="1158"/>
    <cellStyle name="Comma 3 8 42" xfId="1159"/>
    <cellStyle name="Comma 3 8 5" xfId="1160"/>
    <cellStyle name="Comma 3 8 6" xfId="1161"/>
    <cellStyle name="Comma 3 8 7" xfId="1162"/>
    <cellStyle name="Comma 3 8 8" xfId="1163"/>
    <cellStyle name="Comma 3 8 9" xfId="1164"/>
    <cellStyle name="Comma 3 9" xfId="1165"/>
    <cellStyle name="Comma 3 9 10" xfId="1166"/>
    <cellStyle name="Comma 3 9 11" xfId="1167"/>
    <cellStyle name="Comma 3 9 12" xfId="1168"/>
    <cellStyle name="Comma 3 9 13" xfId="1169"/>
    <cellStyle name="Comma 3 9 14" xfId="1170"/>
    <cellStyle name="Comma 3 9 15" xfId="1171"/>
    <cellStyle name="Comma 3 9 16" xfId="1172"/>
    <cellStyle name="Comma 3 9 17" xfId="1173"/>
    <cellStyle name="Comma 3 9 18" xfId="1174"/>
    <cellStyle name="Comma 3 9 19" xfId="1175"/>
    <cellStyle name="Comma 3 9 2" xfId="1176"/>
    <cellStyle name="Comma 3 9 20" xfId="1177"/>
    <cellStyle name="Comma 3 9 21" xfId="1178"/>
    <cellStyle name="Comma 3 9 22" xfId="1179"/>
    <cellStyle name="Comma 3 9 23" xfId="1180"/>
    <cellStyle name="Comma 3 9 24" xfId="1181"/>
    <cellStyle name="Comma 3 9 25" xfId="1182"/>
    <cellStyle name="Comma 3 9 26" xfId="1183"/>
    <cellStyle name="Comma 3 9 27" xfId="1184"/>
    <cellStyle name="Comma 3 9 28" xfId="1185"/>
    <cellStyle name="Comma 3 9 29" xfId="1186"/>
    <cellStyle name="Comma 3 9 3" xfId="1187"/>
    <cellStyle name="Comma 3 9 30" xfId="1188"/>
    <cellStyle name="Comma 3 9 31" xfId="1189"/>
    <cellStyle name="Comma 3 9 32" xfId="1190"/>
    <cellStyle name="Comma 3 9 33" xfId="1191"/>
    <cellStyle name="Comma 3 9 34" xfId="1192"/>
    <cellStyle name="Comma 3 9 35" xfId="1193"/>
    <cellStyle name="Comma 3 9 36" xfId="1194"/>
    <cellStyle name="Comma 3 9 37" xfId="1195"/>
    <cellStyle name="Comma 3 9 38" xfId="1196"/>
    <cellStyle name="Comma 3 9 39" xfId="1197"/>
    <cellStyle name="Comma 3 9 4" xfId="1198"/>
    <cellStyle name="Comma 3 9 40" xfId="1199"/>
    <cellStyle name="Comma 3 9 41" xfId="1200"/>
    <cellStyle name="Comma 3 9 42" xfId="1201"/>
    <cellStyle name="Comma 3 9 5" xfId="1202"/>
    <cellStyle name="Comma 3 9 6" xfId="1203"/>
    <cellStyle name="Comma 3 9 7" xfId="1204"/>
    <cellStyle name="Comma 3 9 8" xfId="1205"/>
    <cellStyle name="Comma 3 9 9" xfId="1206"/>
    <cellStyle name="Comma 3_DISTRIBUTION INPUT" xfId="1207"/>
    <cellStyle name="Comma 4" xfId="1208"/>
    <cellStyle name="Comma 4 10" xfId="1209"/>
    <cellStyle name="Comma 4 11" xfId="1210"/>
    <cellStyle name="Comma 4 11 2" xfId="1211"/>
    <cellStyle name="Comma 4 11 3" xfId="1212"/>
    <cellStyle name="Comma 4 11 4" xfId="1213"/>
    <cellStyle name="Comma 4 11 5" xfId="1214"/>
    <cellStyle name="Comma 4 11 6" xfId="1215"/>
    <cellStyle name="Comma 4 11 7" xfId="1216"/>
    <cellStyle name="Comma 4 12" xfId="1217"/>
    <cellStyle name="Comma 4 12 2" xfId="1218"/>
    <cellStyle name="Comma 4 12 3" xfId="1219"/>
    <cellStyle name="Comma 4 12 4" xfId="1220"/>
    <cellStyle name="Comma 4 12 5" xfId="1221"/>
    <cellStyle name="Comma 4 12 6" xfId="1222"/>
    <cellStyle name="Comma 4 12 7" xfId="1223"/>
    <cellStyle name="Comma 4 13" xfId="1224"/>
    <cellStyle name="Comma 4 13 2" xfId="1225"/>
    <cellStyle name="Comma 4 13 3" xfId="1226"/>
    <cellStyle name="Comma 4 13 4" xfId="1227"/>
    <cellStyle name="Comma 4 13 5" xfId="1228"/>
    <cellStyle name="Comma 4 13 6" xfId="1229"/>
    <cellStyle name="Comma 4 13 7" xfId="1230"/>
    <cellStyle name="Comma 4 14" xfId="1231"/>
    <cellStyle name="Comma 4 14 2" xfId="1232"/>
    <cellStyle name="Comma 4 14 3" xfId="1233"/>
    <cellStyle name="Comma 4 14 4" xfId="1234"/>
    <cellStyle name="Comma 4 14 5" xfId="1235"/>
    <cellStyle name="Comma 4 14 6" xfId="1236"/>
    <cellStyle name="Comma 4 14 7" xfId="1237"/>
    <cellStyle name="Comma 4 15" xfId="1238"/>
    <cellStyle name="Comma 4 15 2" xfId="1239"/>
    <cellStyle name="Comma 4 15 3" xfId="1240"/>
    <cellStyle name="Comma 4 15 4" xfId="1241"/>
    <cellStyle name="Comma 4 15 5" xfId="1242"/>
    <cellStyle name="Comma 4 15 6" xfId="1243"/>
    <cellStyle name="Comma 4 15 7" xfId="1244"/>
    <cellStyle name="Comma 4 16" xfId="1245"/>
    <cellStyle name="Comma 4 16 2" xfId="1246"/>
    <cellStyle name="Comma 4 16 3" xfId="1247"/>
    <cellStyle name="Comma 4 16 4" xfId="1248"/>
    <cellStyle name="Comma 4 16 5" xfId="1249"/>
    <cellStyle name="Comma 4 16 6" xfId="1250"/>
    <cellStyle name="Comma 4 16 7" xfId="1251"/>
    <cellStyle name="Comma 4 17" xfId="1252"/>
    <cellStyle name="Comma 4 18" xfId="1253"/>
    <cellStyle name="Comma 4 19" xfId="1254"/>
    <cellStyle name="Comma 4 2" xfId="1255"/>
    <cellStyle name="Comma 4 2 10" xfId="1256"/>
    <cellStyle name="Comma 4 2 11" xfId="1257"/>
    <cellStyle name="Comma 4 2 12" xfId="1258"/>
    <cellStyle name="Comma 4 2 13" xfId="1259"/>
    <cellStyle name="Comma 4 2 14" xfId="1260"/>
    <cellStyle name="Comma 4 2 15" xfId="1261"/>
    <cellStyle name="Comma 4 2 16" xfId="1262"/>
    <cellStyle name="Comma 4 2 17" xfId="1263"/>
    <cellStyle name="Comma 4 2 18" xfId="1264"/>
    <cellStyle name="Comma 4 2 19" xfId="1265"/>
    <cellStyle name="Comma 4 2 2" xfId="1266"/>
    <cellStyle name="Comma 4 2 20" xfId="1267"/>
    <cellStyle name="Comma 4 2 21" xfId="1268"/>
    <cellStyle name="Comma 4 2 22" xfId="1269"/>
    <cellStyle name="Comma 4 2 23" xfId="1270"/>
    <cellStyle name="Comma 4 2 24" xfId="1271"/>
    <cellStyle name="Comma 4 2 25" xfId="1272"/>
    <cellStyle name="Comma 4 2 26" xfId="1273"/>
    <cellStyle name="Comma 4 2 27" xfId="1274"/>
    <cellStyle name="Comma 4 2 28" xfId="1275"/>
    <cellStyle name="Comma 4 2 29" xfId="1276"/>
    <cellStyle name="Comma 4 2 3" xfId="1277"/>
    <cellStyle name="Comma 4 2 4" xfId="1278"/>
    <cellStyle name="Comma 4 2 5" xfId="1279"/>
    <cellStyle name="Comma 4 2 6" xfId="1280"/>
    <cellStyle name="Comma 4 2 7" xfId="1281"/>
    <cellStyle name="Comma 4 2 8" xfId="1282"/>
    <cellStyle name="Comma 4 2 9" xfId="1283"/>
    <cellStyle name="Comma 4 20" xfId="1284"/>
    <cellStyle name="Comma 4 21" xfId="1285"/>
    <cellStyle name="Comma 4 3" xfId="1286"/>
    <cellStyle name="Comma 4 3 10" xfId="1287"/>
    <cellStyle name="Comma 4 3 11" xfId="1288"/>
    <cellStyle name="Comma 4 3 12" xfId="1289"/>
    <cellStyle name="Comma 4 3 13" xfId="1290"/>
    <cellStyle name="Comma 4 3 14" xfId="1291"/>
    <cellStyle name="Comma 4 3 15" xfId="1292"/>
    <cellStyle name="Comma 4 3 16" xfId="1293"/>
    <cellStyle name="Comma 4 3 17" xfId="1294"/>
    <cellStyle name="Comma 4 3 18" xfId="1295"/>
    <cellStyle name="Comma 4 3 19" xfId="1296"/>
    <cellStyle name="Comma 4 3 2" xfId="1297"/>
    <cellStyle name="Comma 4 3 20" xfId="1298"/>
    <cellStyle name="Comma 4 3 21" xfId="1299"/>
    <cellStyle name="Comma 4 3 22" xfId="1300"/>
    <cellStyle name="Comma 4 3 23" xfId="1301"/>
    <cellStyle name="Comma 4 3 24" xfId="1302"/>
    <cellStyle name="Comma 4 3 25" xfId="1303"/>
    <cellStyle name="Comma 4 3 26" xfId="1304"/>
    <cellStyle name="Comma 4 3 27" xfId="1305"/>
    <cellStyle name="Comma 4 3 28" xfId="1306"/>
    <cellStyle name="Comma 4 3 29" xfId="1307"/>
    <cellStyle name="Comma 4 3 3" xfId="1308"/>
    <cellStyle name="Comma 4 3 4" xfId="1309"/>
    <cellStyle name="Comma 4 3 5" xfId="1310"/>
    <cellStyle name="Comma 4 3 6" xfId="1311"/>
    <cellStyle name="Comma 4 3 7" xfId="1312"/>
    <cellStyle name="Comma 4 3 8" xfId="1313"/>
    <cellStyle name="Comma 4 3 9" xfId="1314"/>
    <cellStyle name="Comma 4 4" xfId="1315"/>
    <cellStyle name="Comma 4 4 10" xfId="1316"/>
    <cellStyle name="Comma 4 4 11" xfId="1317"/>
    <cellStyle name="Comma 4 4 12" xfId="1318"/>
    <cellStyle name="Comma 4 4 13" xfId="1319"/>
    <cellStyle name="Comma 4 4 14" xfId="1320"/>
    <cellStyle name="Comma 4 4 15" xfId="1321"/>
    <cellStyle name="Comma 4 4 16" xfId="1322"/>
    <cellStyle name="Comma 4 4 17" xfId="1323"/>
    <cellStyle name="Comma 4 4 18" xfId="1324"/>
    <cellStyle name="Comma 4 4 19" xfId="1325"/>
    <cellStyle name="Comma 4 4 2" xfId="1326"/>
    <cellStyle name="Comma 4 4 20" xfId="1327"/>
    <cellStyle name="Comma 4 4 21" xfId="1328"/>
    <cellStyle name="Comma 4 4 22" xfId="1329"/>
    <cellStyle name="Comma 4 4 23" xfId="1330"/>
    <cellStyle name="Comma 4 4 24" xfId="1331"/>
    <cellStyle name="Comma 4 4 25" xfId="1332"/>
    <cellStyle name="Comma 4 4 26" xfId="1333"/>
    <cellStyle name="Comma 4 4 27" xfId="1334"/>
    <cellStyle name="Comma 4 4 28" xfId="1335"/>
    <cellStyle name="Comma 4 4 29" xfId="1336"/>
    <cellStyle name="Comma 4 4 3" xfId="1337"/>
    <cellStyle name="Comma 4 4 4" xfId="1338"/>
    <cellStyle name="Comma 4 4 5" xfId="1339"/>
    <cellStyle name="Comma 4 4 6" xfId="1340"/>
    <cellStyle name="Comma 4 4 7" xfId="1341"/>
    <cellStyle name="Comma 4 4 8" xfId="1342"/>
    <cellStyle name="Comma 4 4 9" xfId="1343"/>
    <cellStyle name="Comma 4 5" xfId="1344"/>
    <cellStyle name="Comma 4 5 10" xfId="1345"/>
    <cellStyle name="Comma 4 5 11" xfId="1346"/>
    <cellStyle name="Comma 4 5 12" xfId="1347"/>
    <cellStyle name="Comma 4 5 13" xfId="1348"/>
    <cellStyle name="Comma 4 5 14" xfId="1349"/>
    <cellStyle name="Comma 4 5 15" xfId="1350"/>
    <cellStyle name="Comma 4 5 16" xfId="1351"/>
    <cellStyle name="Comma 4 5 17" xfId="1352"/>
    <cellStyle name="Comma 4 5 18" xfId="1353"/>
    <cellStyle name="Comma 4 5 19" xfId="1354"/>
    <cellStyle name="Comma 4 5 2" xfId="1355"/>
    <cellStyle name="Comma 4 5 20" xfId="1356"/>
    <cellStyle name="Comma 4 5 21" xfId="1357"/>
    <cellStyle name="Comma 4 5 22" xfId="1358"/>
    <cellStyle name="Comma 4 5 23" xfId="1359"/>
    <cellStyle name="Comma 4 5 24" xfId="1360"/>
    <cellStyle name="Comma 4 5 25" xfId="1361"/>
    <cellStyle name="Comma 4 5 26" xfId="1362"/>
    <cellStyle name="Comma 4 5 27" xfId="1363"/>
    <cellStyle name="Comma 4 5 28" xfId="1364"/>
    <cellStyle name="Comma 4 5 29" xfId="1365"/>
    <cellStyle name="Comma 4 5 3" xfId="1366"/>
    <cellStyle name="Comma 4 5 4" xfId="1367"/>
    <cellStyle name="Comma 4 5 5" xfId="1368"/>
    <cellStyle name="Comma 4 5 6" xfId="1369"/>
    <cellStyle name="Comma 4 5 7" xfId="1370"/>
    <cellStyle name="Comma 4 5 8" xfId="1371"/>
    <cellStyle name="Comma 4 5 9" xfId="1372"/>
    <cellStyle name="Comma 4 6" xfId="1373"/>
    <cellStyle name="Comma 4 6 10" xfId="1374"/>
    <cellStyle name="Comma 4 6 11" xfId="1375"/>
    <cellStyle name="Comma 4 6 12" xfId="1376"/>
    <cellStyle name="Comma 4 6 13" xfId="1377"/>
    <cellStyle name="Comma 4 6 14" xfId="1378"/>
    <cellStyle name="Comma 4 6 15" xfId="1379"/>
    <cellStyle name="Comma 4 6 16" xfId="1380"/>
    <cellStyle name="Comma 4 6 17" xfId="1381"/>
    <cellStyle name="Comma 4 6 18" xfId="1382"/>
    <cellStyle name="Comma 4 6 19" xfId="1383"/>
    <cellStyle name="Comma 4 6 2" xfId="1384"/>
    <cellStyle name="Comma 4 6 20" xfId="1385"/>
    <cellStyle name="Comma 4 6 21" xfId="1386"/>
    <cellStyle name="Comma 4 6 22" xfId="1387"/>
    <cellStyle name="Comma 4 6 23" xfId="1388"/>
    <cellStyle name="Comma 4 6 24" xfId="1389"/>
    <cellStyle name="Comma 4 6 25" xfId="1390"/>
    <cellStyle name="Comma 4 6 26" xfId="1391"/>
    <cellStyle name="Comma 4 6 27" xfId="1392"/>
    <cellStyle name="Comma 4 6 28" xfId="1393"/>
    <cellStyle name="Comma 4 6 29" xfId="1394"/>
    <cellStyle name="Comma 4 6 3" xfId="1395"/>
    <cellStyle name="Comma 4 6 4" xfId="1396"/>
    <cellStyle name="Comma 4 6 5" xfId="1397"/>
    <cellStyle name="Comma 4 6 6" xfId="1398"/>
    <cellStyle name="Comma 4 6 7" xfId="1399"/>
    <cellStyle name="Comma 4 6 8" xfId="1400"/>
    <cellStyle name="Comma 4 6 9" xfId="1401"/>
    <cellStyle name="Comma 4 7" xfId="1402"/>
    <cellStyle name="Comma 4 7 10" xfId="1403"/>
    <cellStyle name="Comma 4 7 11" xfId="1404"/>
    <cellStyle name="Comma 4 7 12" xfId="1405"/>
    <cellStyle name="Comma 4 7 13" xfId="1406"/>
    <cellStyle name="Comma 4 7 14" xfId="1407"/>
    <cellStyle name="Comma 4 7 15" xfId="1408"/>
    <cellStyle name="Comma 4 7 16" xfId="1409"/>
    <cellStyle name="Comma 4 7 17" xfId="1410"/>
    <cellStyle name="Comma 4 7 18" xfId="1411"/>
    <cellStyle name="Comma 4 7 19" xfId="1412"/>
    <cellStyle name="Comma 4 7 2" xfId="1413"/>
    <cellStyle name="Comma 4 7 20" xfId="1414"/>
    <cellStyle name="Comma 4 7 21" xfId="1415"/>
    <cellStyle name="Comma 4 7 22" xfId="1416"/>
    <cellStyle name="Comma 4 7 23" xfId="1417"/>
    <cellStyle name="Comma 4 7 24" xfId="1418"/>
    <cellStyle name="Comma 4 7 25" xfId="1419"/>
    <cellStyle name="Comma 4 7 26" xfId="1420"/>
    <cellStyle name="Comma 4 7 27" xfId="1421"/>
    <cellStyle name="Comma 4 7 28" xfId="1422"/>
    <cellStyle name="Comma 4 7 29" xfId="1423"/>
    <cellStyle name="Comma 4 7 3" xfId="1424"/>
    <cellStyle name="Comma 4 7 4" xfId="1425"/>
    <cellStyle name="Comma 4 7 5" xfId="1426"/>
    <cellStyle name="Comma 4 7 6" xfId="1427"/>
    <cellStyle name="Comma 4 7 7" xfId="1428"/>
    <cellStyle name="Comma 4 7 8" xfId="1429"/>
    <cellStyle name="Comma 4 7 9" xfId="1430"/>
    <cellStyle name="Comma 4 8" xfId="1431"/>
    <cellStyle name="Comma 4 8 10" xfId="1432"/>
    <cellStyle name="Comma 4 8 11" xfId="1433"/>
    <cellStyle name="Comma 4 8 12" xfId="1434"/>
    <cellStyle name="Comma 4 8 13" xfId="1435"/>
    <cellStyle name="Comma 4 8 14" xfId="1436"/>
    <cellStyle name="Comma 4 8 15" xfId="1437"/>
    <cellStyle name="Comma 4 8 16" xfId="1438"/>
    <cellStyle name="Comma 4 8 17" xfId="1439"/>
    <cellStyle name="Comma 4 8 18" xfId="1440"/>
    <cellStyle name="Comma 4 8 19" xfId="1441"/>
    <cellStyle name="Comma 4 8 2" xfId="1442"/>
    <cellStyle name="Comma 4 8 20" xfId="1443"/>
    <cellStyle name="Comma 4 8 21" xfId="1444"/>
    <cellStyle name="Comma 4 8 22" xfId="1445"/>
    <cellStyle name="Comma 4 8 23" xfId="1446"/>
    <cellStyle name="Comma 4 8 24" xfId="1447"/>
    <cellStyle name="Comma 4 8 25" xfId="1448"/>
    <cellStyle name="Comma 4 8 26" xfId="1449"/>
    <cellStyle name="Comma 4 8 27" xfId="1450"/>
    <cellStyle name="Comma 4 8 28" xfId="1451"/>
    <cellStyle name="Comma 4 8 29" xfId="1452"/>
    <cellStyle name="Comma 4 8 3" xfId="1453"/>
    <cellStyle name="Comma 4 8 4" xfId="1454"/>
    <cellStyle name="Comma 4 8 5" xfId="1455"/>
    <cellStyle name="Comma 4 8 6" xfId="1456"/>
    <cellStyle name="Comma 4 8 7" xfId="1457"/>
    <cellStyle name="Comma 4 8 8" xfId="1458"/>
    <cellStyle name="Comma 4 8 9" xfId="1459"/>
    <cellStyle name="Comma 4 9" xfId="1460"/>
    <cellStyle name="Comma 4 9 10" xfId="1461"/>
    <cellStyle name="Comma 4 9 11" xfId="1462"/>
    <cellStyle name="Comma 4 9 12" xfId="1463"/>
    <cellStyle name="Comma 4 9 13" xfId="1464"/>
    <cellStyle name="Comma 4 9 14" xfId="1465"/>
    <cellStyle name="Comma 4 9 15" xfId="1466"/>
    <cellStyle name="Comma 4 9 16" xfId="1467"/>
    <cellStyle name="Comma 4 9 17" xfId="1468"/>
    <cellStyle name="Comma 4 9 18" xfId="1469"/>
    <cellStyle name="Comma 4 9 19" xfId="1470"/>
    <cellStyle name="Comma 4 9 2" xfId="1471"/>
    <cellStyle name="Comma 4 9 20" xfId="1472"/>
    <cellStyle name="Comma 4 9 21" xfId="1473"/>
    <cellStyle name="Comma 4 9 22" xfId="1474"/>
    <cellStyle name="Comma 4 9 23" xfId="1475"/>
    <cellStyle name="Comma 4 9 24" xfId="1476"/>
    <cellStyle name="Comma 4 9 25" xfId="1477"/>
    <cellStyle name="Comma 4 9 26" xfId="1478"/>
    <cellStyle name="Comma 4 9 27" xfId="1479"/>
    <cellStyle name="Comma 4 9 28" xfId="1480"/>
    <cellStyle name="Comma 4 9 29" xfId="1481"/>
    <cellStyle name="Comma 4 9 3" xfId="1482"/>
    <cellStyle name="Comma 4 9 4" xfId="1483"/>
    <cellStyle name="Comma 4 9 5" xfId="1484"/>
    <cellStyle name="Comma 4 9 6" xfId="1485"/>
    <cellStyle name="Comma 4 9 7" xfId="1486"/>
    <cellStyle name="Comma 4 9 8" xfId="1487"/>
    <cellStyle name="Comma 4 9 9" xfId="1488"/>
    <cellStyle name="Comma 4_DISTRIBUTION INPUT" xfId="1489"/>
    <cellStyle name="Comma 5" xfId="1490"/>
    <cellStyle name="Comma 6" xfId="1491"/>
    <cellStyle name="Comma 7" xfId="1492"/>
    <cellStyle name="Comma 8" xfId="1493"/>
    <cellStyle name="Comma 9" xfId="1494"/>
    <cellStyle name="Milliers" xfId="1" builtinId="3"/>
    <cellStyle name="Normal" xfId="0" builtinId="0"/>
    <cellStyle name="Normal 10" xfId="1495"/>
    <cellStyle name="Normal 10 2" xfId="1496"/>
    <cellStyle name="Normal 10 3" xfId="1497"/>
    <cellStyle name="Normal 100" xfId="2"/>
    <cellStyle name="Normal 101" xfId="1498"/>
    <cellStyle name="Normal 102" xfId="1499"/>
    <cellStyle name="Normal 103" xfId="1500"/>
    <cellStyle name="Normal 104" xfId="1501"/>
    <cellStyle name="Normal 105" xfId="1502"/>
    <cellStyle name="Normal 106" xfId="1503"/>
    <cellStyle name="Normal 107" xfId="1504"/>
    <cellStyle name="Normal 108" xfId="1505"/>
    <cellStyle name="Normal 11" xfId="1506"/>
    <cellStyle name="Normal 11 2" xfId="1507"/>
    <cellStyle name="Normal 11 3" xfId="1508"/>
    <cellStyle name="Normal 12" xfId="1509"/>
    <cellStyle name="Normal 12 2" xfId="1510"/>
    <cellStyle name="Normal 12 3" xfId="1511"/>
    <cellStyle name="Normal 13" xfId="1512"/>
    <cellStyle name="Normal 13 2" xfId="1513"/>
    <cellStyle name="Normal 13 3" xfId="1514"/>
    <cellStyle name="Normal 14" xfId="1515"/>
    <cellStyle name="Normal 14 2" xfId="1516"/>
    <cellStyle name="Normal 14 3" xfId="1517"/>
    <cellStyle name="Normal 15" xfId="1518"/>
    <cellStyle name="Normal 15 2" xfId="1519"/>
    <cellStyle name="Normal 15 3" xfId="1520"/>
    <cellStyle name="Normal 16" xfId="1521"/>
    <cellStyle name="Normal 16 2" xfId="1522"/>
    <cellStyle name="Normal 16 3" xfId="1523"/>
    <cellStyle name="Normal 17" xfId="1524"/>
    <cellStyle name="Normal 17 2" xfId="1525"/>
    <cellStyle name="Normal 17 3" xfId="1526"/>
    <cellStyle name="Normal 17 5" xfId="1527"/>
    <cellStyle name="Normal 17 5 2" xfId="1528"/>
    <cellStyle name="Normal 17 5 3" xfId="1529"/>
    <cellStyle name="Normal 18" xfId="1530"/>
    <cellStyle name="Normal 18 2" xfId="1531"/>
    <cellStyle name="Normal 18 3" xfId="1532"/>
    <cellStyle name="Normal 18 6" xfId="1533"/>
    <cellStyle name="Normal 18 6 2" xfId="1534"/>
    <cellStyle name="Normal 18 6 3" xfId="1535"/>
    <cellStyle name="Normal 19" xfId="1536"/>
    <cellStyle name="Normal 19 2" xfId="1537"/>
    <cellStyle name="Normal 19 3" xfId="1538"/>
    <cellStyle name="Normal 2" xfId="3"/>
    <cellStyle name="Normal 2 10" xfId="5"/>
    <cellStyle name="Normal 2 10 10" xfId="1539"/>
    <cellStyle name="Normal 2 10 10 2" xfId="1540"/>
    <cellStyle name="Normal 2 10 10 3" xfId="1541"/>
    <cellStyle name="Normal 2 10 11" xfId="1542"/>
    <cellStyle name="Normal 2 10 11 2" xfId="1543"/>
    <cellStyle name="Normal 2 10 11 3" xfId="1544"/>
    <cellStyle name="Normal 2 10 12" xfId="1545"/>
    <cellStyle name="Normal 2 10 12 2" xfId="1546"/>
    <cellStyle name="Normal 2 10 12 3" xfId="1547"/>
    <cellStyle name="Normal 2 10 13" xfId="1548"/>
    <cellStyle name="Normal 2 10 13 2" xfId="1549"/>
    <cellStyle name="Normal 2 10 13 3" xfId="1550"/>
    <cellStyle name="Normal 2 10 14" xfId="1551"/>
    <cellStyle name="Normal 2 10 14 2" xfId="1552"/>
    <cellStyle name="Normal 2 10 14 3" xfId="1553"/>
    <cellStyle name="Normal 2 10 15" xfId="1554"/>
    <cellStyle name="Normal 2 10 15 2" xfId="1555"/>
    <cellStyle name="Normal 2 10 15 3" xfId="1556"/>
    <cellStyle name="Normal 2 10 16" xfId="1557"/>
    <cellStyle name="Normal 2 10 16 2" xfId="1558"/>
    <cellStyle name="Normal 2 10 16 3" xfId="1559"/>
    <cellStyle name="Normal 2 10 17" xfId="1560"/>
    <cellStyle name="Normal 2 10 17 2" xfId="1561"/>
    <cellStyle name="Normal 2 10 17 3" xfId="1562"/>
    <cellStyle name="Normal 2 10 18" xfId="1563"/>
    <cellStyle name="Normal 2 10 18 2" xfId="1564"/>
    <cellStyle name="Normal 2 10 18 3" xfId="1565"/>
    <cellStyle name="Normal 2 10 19" xfId="1566"/>
    <cellStyle name="Normal 2 10 19 2" xfId="1567"/>
    <cellStyle name="Normal 2 10 19 3" xfId="1568"/>
    <cellStyle name="Normal 2 10 2" xfId="1569"/>
    <cellStyle name="Normal 2 10 2 2" xfId="1570"/>
    <cellStyle name="Normal 2 10 2 3" xfId="1571"/>
    <cellStyle name="Normal 2 10 20" xfId="1572"/>
    <cellStyle name="Normal 2 10 20 2" xfId="1573"/>
    <cellStyle name="Normal 2 10 20 3" xfId="1574"/>
    <cellStyle name="Normal 2 10 21" xfId="1575"/>
    <cellStyle name="Normal 2 10 21 2" xfId="1576"/>
    <cellStyle name="Normal 2 10 21 3" xfId="1577"/>
    <cellStyle name="Normal 2 10 22" xfId="1578"/>
    <cellStyle name="Normal 2 10 22 2" xfId="1579"/>
    <cellStyle name="Normal 2 10 22 3" xfId="1580"/>
    <cellStyle name="Normal 2 10 23" xfId="1581"/>
    <cellStyle name="Normal 2 10 24" xfId="1582"/>
    <cellStyle name="Normal 2 10 25" xfId="1583"/>
    <cellStyle name="Normal 2 10 26" xfId="1584"/>
    <cellStyle name="Normal 2 10 27" xfId="1585"/>
    <cellStyle name="Normal 2 10 28" xfId="1586"/>
    <cellStyle name="Normal 2 10 29" xfId="1587"/>
    <cellStyle name="Normal 2 10 3" xfId="1588"/>
    <cellStyle name="Normal 2 10 3 2" xfId="1589"/>
    <cellStyle name="Normal 2 10 3 3" xfId="1590"/>
    <cellStyle name="Normal 2 10 30" xfId="1591"/>
    <cellStyle name="Normal 2 10 31" xfId="1592"/>
    <cellStyle name="Normal 2 10 32" xfId="1593"/>
    <cellStyle name="Normal 2 10 33" xfId="1594"/>
    <cellStyle name="Normal 2 10 34" xfId="1595"/>
    <cellStyle name="Normal 2 10 35" xfId="1596"/>
    <cellStyle name="Normal 2 10 36" xfId="1597"/>
    <cellStyle name="Normal 2 10 37" xfId="1598"/>
    <cellStyle name="Normal 2 10 38" xfId="1599"/>
    <cellStyle name="Normal 2 10 39" xfId="1600"/>
    <cellStyle name="Normal 2 10 4" xfId="1601"/>
    <cellStyle name="Normal 2 10 4 2" xfId="1602"/>
    <cellStyle name="Normal 2 10 4 3" xfId="1603"/>
    <cellStyle name="Normal 2 10 40" xfId="1604"/>
    <cellStyle name="Normal 2 10 41" xfId="1605"/>
    <cellStyle name="Normal 2 10 42" xfId="1606"/>
    <cellStyle name="Normal 2 10 5" xfId="1607"/>
    <cellStyle name="Normal 2 10 5 2" xfId="1608"/>
    <cellStyle name="Normal 2 10 5 3" xfId="1609"/>
    <cellStyle name="Normal 2 10 6" xfId="1610"/>
    <cellStyle name="Normal 2 10 6 2" xfId="1611"/>
    <cellStyle name="Normal 2 10 6 3" xfId="1612"/>
    <cellStyle name="Normal 2 10 7" xfId="1613"/>
    <cellStyle name="Normal 2 10 7 2" xfId="1614"/>
    <cellStyle name="Normal 2 10 7 3" xfId="1615"/>
    <cellStyle name="Normal 2 10 8" xfId="1616"/>
    <cellStyle name="Normal 2 10 8 2" xfId="1617"/>
    <cellStyle name="Normal 2 10 8 3" xfId="1618"/>
    <cellStyle name="Normal 2 10 9" xfId="1619"/>
    <cellStyle name="Normal 2 10 9 2" xfId="1620"/>
    <cellStyle name="Normal 2 10 9 3" xfId="1621"/>
    <cellStyle name="Normal 2 10_DISTRIBUTION INPUT" xfId="1622"/>
    <cellStyle name="Normal 2 11" xfId="1623"/>
    <cellStyle name="Normal 2 11 2" xfId="1624"/>
    <cellStyle name="Normal 2 11 3" xfId="1625"/>
    <cellStyle name="Normal 2 11 4" xfId="1626"/>
    <cellStyle name="Normal 2 11 5" xfId="1627"/>
    <cellStyle name="Normal 2 11 6" xfId="1628"/>
    <cellStyle name="Normal 2 11 7" xfId="1629"/>
    <cellStyle name="Normal 2 12" xfId="1630"/>
    <cellStyle name="Normal 2 12 2" xfId="1631"/>
    <cellStyle name="Normal 2 12 3" xfId="1632"/>
    <cellStyle name="Normal 2 12 4" xfId="1633"/>
    <cellStyle name="Normal 2 12 5" xfId="1634"/>
    <cellStyle name="Normal 2 12 6" xfId="1635"/>
    <cellStyle name="Normal 2 12 7" xfId="1636"/>
    <cellStyle name="Normal 2 13" xfId="1637"/>
    <cellStyle name="Normal 2 13 2" xfId="1638"/>
    <cellStyle name="Normal 2 13 3" xfId="1639"/>
    <cellStyle name="Normal 2 13 4" xfId="1640"/>
    <cellStyle name="Normal 2 13 5" xfId="1641"/>
    <cellStyle name="Normal 2 13 6" xfId="1642"/>
    <cellStyle name="Normal 2 13 7" xfId="1643"/>
    <cellStyle name="Normal 2 14" xfId="1644"/>
    <cellStyle name="Normal 2 14 2" xfId="1645"/>
    <cellStyle name="Normal 2 14 3" xfId="1646"/>
    <cellStyle name="Normal 2 14 4" xfId="1647"/>
    <cellStyle name="Normal 2 14 5" xfId="1648"/>
    <cellStyle name="Normal 2 14 6" xfId="1649"/>
    <cellStyle name="Normal 2 14 7" xfId="1650"/>
    <cellStyle name="Normal 2 15" xfId="1651"/>
    <cellStyle name="Normal 2 15 2" xfId="1652"/>
    <cellStyle name="Normal 2 15 3" xfId="1653"/>
    <cellStyle name="Normal 2 15 4" xfId="1654"/>
    <cellStyle name="Normal 2 15 5" xfId="1655"/>
    <cellStyle name="Normal 2 15 6" xfId="1656"/>
    <cellStyle name="Normal 2 15 7" xfId="1657"/>
    <cellStyle name="Normal 2 16" xfId="1658"/>
    <cellStyle name="Normal 2 16 2" xfId="1659"/>
    <cellStyle name="Normal 2 16 3" xfId="1660"/>
    <cellStyle name="Normal 2 16 4" xfId="1661"/>
    <cellStyle name="Normal 2 16 5" xfId="1662"/>
    <cellStyle name="Normal 2 16 6" xfId="1663"/>
    <cellStyle name="Normal 2 16 7" xfId="1664"/>
    <cellStyle name="Normal 2 17" xfId="1665"/>
    <cellStyle name="Normal 2 17 2" xfId="1666"/>
    <cellStyle name="Normal 2 17 3" xfId="1667"/>
    <cellStyle name="Normal 2 17 4" xfId="1668"/>
    <cellStyle name="Normal 2 17 5" xfId="1669"/>
    <cellStyle name="Normal 2 17 6" xfId="1670"/>
    <cellStyle name="Normal 2 17 7" xfId="1671"/>
    <cellStyle name="Normal 2 18" xfId="1672"/>
    <cellStyle name="Normal 2 18 2" xfId="1673"/>
    <cellStyle name="Normal 2 18 3" xfId="1674"/>
    <cellStyle name="Normal 2 18 4" xfId="1675"/>
    <cellStyle name="Normal 2 18 5" xfId="1676"/>
    <cellStyle name="Normal 2 18 6" xfId="1677"/>
    <cellStyle name="Normal 2 18 7" xfId="1678"/>
    <cellStyle name="Normal 2 19" xfId="1679"/>
    <cellStyle name="Normal 2 19 2" xfId="1680"/>
    <cellStyle name="Normal 2 19 3" xfId="1681"/>
    <cellStyle name="Normal 2 19 4" xfId="1682"/>
    <cellStyle name="Normal 2 19 5" xfId="1683"/>
    <cellStyle name="Normal 2 19 6" xfId="1684"/>
    <cellStyle name="Normal 2 19 7" xfId="1685"/>
    <cellStyle name="Normal 2 2" xfId="4"/>
    <cellStyle name="Normal 2 2 10" xfId="1686"/>
    <cellStyle name="Normal 2 2 10 2" xfId="1687"/>
    <cellStyle name="Normal 2 2 10 3" xfId="1688"/>
    <cellStyle name="Normal 2 2 11" xfId="1689"/>
    <cellStyle name="Normal 2 2 11 2" xfId="1690"/>
    <cellStyle name="Normal 2 2 11 3" xfId="1691"/>
    <cellStyle name="Normal 2 2 12" xfId="1692"/>
    <cellStyle name="Normal 2 2 12 2" xfId="1693"/>
    <cellStyle name="Normal 2 2 12 3" xfId="1694"/>
    <cellStyle name="Normal 2 2 13" xfId="1695"/>
    <cellStyle name="Normal 2 2 13 2" xfId="1696"/>
    <cellStyle name="Normal 2 2 13 3" xfId="1697"/>
    <cellStyle name="Normal 2 2 14" xfId="1698"/>
    <cellStyle name="Normal 2 2 14 2" xfId="1699"/>
    <cellStyle name="Normal 2 2 14 3" xfId="1700"/>
    <cellStyle name="Normal 2 2 15" xfId="1701"/>
    <cellStyle name="Normal 2 2 15 2" xfId="1702"/>
    <cellStyle name="Normal 2 2 15 3" xfId="1703"/>
    <cellStyle name="Normal 2 2 16" xfId="1704"/>
    <cellStyle name="Normal 2 2 16 2" xfId="1705"/>
    <cellStyle name="Normal 2 2 16 3" xfId="1706"/>
    <cellStyle name="Normal 2 2 17" xfId="1707"/>
    <cellStyle name="Normal 2 2 17 2" xfId="1708"/>
    <cellStyle name="Normal 2 2 17 3" xfId="1709"/>
    <cellStyle name="Normal 2 2 18" xfId="1710"/>
    <cellStyle name="Normal 2 2 18 2" xfId="1711"/>
    <cellStyle name="Normal 2 2 18 3" xfId="1712"/>
    <cellStyle name="Normal 2 2 19" xfId="1713"/>
    <cellStyle name="Normal 2 2 19 2" xfId="1714"/>
    <cellStyle name="Normal 2 2 19 3" xfId="1715"/>
    <cellStyle name="Normal 2 2 2" xfId="1716"/>
    <cellStyle name="Normal 2 2 2 2" xfId="1717"/>
    <cellStyle name="Normal 2 2 2 3" xfId="1718"/>
    <cellStyle name="Normal 2 2 20" xfId="1719"/>
    <cellStyle name="Normal 2 2 20 2" xfId="1720"/>
    <cellStyle name="Normal 2 2 20 3" xfId="1721"/>
    <cellStyle name="Normal 2 2 21" xfId="1722"/>
    <cellStyle name="Normal 2 2 21 2" xfId="1723"/>
    <cellStyle name="Normal 2 2 21 3" xfId="1724"/>
    <cellStyle name="Normal 2 2 22" xfId="1725"/>
    <cellStyle name="Normal 2 2 22 2" xfId="1726"/>
    <cellStyle name="Normal 2 2 22 3" xfId="1727"/>
    <cellStyle name="Normal 2 2 23" xfId="1728"/>
    <cellStyle name="Normal 2 2 24" xfId="1729"/>
    <cellStyle name="Normal 2 2 25" xfId="1730"/>
    <cellStyle name="Normal 2 2 26" xfId="1731"/>
    <cellStyle name="Normal 2 2 27" xfId="1732"/>
    <cellStyle name="Normal 2 2 28" xfId="1733"/>
    <cellStyle name="Normal 2 2 29" xfId="1734"/>
    <cellStyle name="Normal 2 2 3" xfId="1735"/>
    <cellStyle name="Normal 2 2 3 2" xfId="1736"/>
    <cellStyle name="Normal 2 2 3 3" xfId="1737"/>
    <cellStyle name="Normal 2 2 30" xfId="1738"/>
    <cellStyle name="Normal 2 2 31" xfId="1739"/>
    <cellStyle name="Normal 2 2 32" xfId="1740"/>
    <cellStyle name="Normal 2 2 33" xfId="1741"/>
    <cellStyle name="Normal 2 2 34" xfId="1742"/>
    <cellStyle name="Normal 2 2 35" xfId="1743"/>
    <cellStyle name="Normal 2 2 36" xfId="1744"/>
    <cellStyle name="Normal 2 2 37" xfId="1745"/>
    <cellStyle name="Normal 2 2 38" xfId="1746"/>
    <cellStyle name="Normal 2 2 39" xfId="1747"/>
    <cellStyle name="Normal 2 2 4" xfId="1748"/>
    <cellStyle name="Normal 2 2 4 2" xfId="1749"/>
    <cellStyle name="Normal 2 2 4 3" xfId="1750"/>
    <cellStyle name="Normal 2 2 40" xfId="1751"/>
    <cellStyle name="Normal 2 2 41" xfId="1752"/>
    <cellStyle name="Normal 2 2 42" xfId="1753"/>
    <cellStyle name="Normal 2 2 5" xfId="1754"/>
    <cellStyle name="Normal 2 2 5 2" xfId="1755"/>
    <cellStyle name="Normal 2 2 5 3" xfId="1756"/>
    <cellStyle name="Normal 2 2 6" xfId="1757"/>
    <cellStyle name="Normal 2 2 6 2" xfId="1758"/>
    <cellStyle name="Normal 2 2 6 3" xfId="1759"/>
    <cellStyle name="Normal 2 2 7" xfId="1760"/>
    <cellStyle name="Normal 2 2 7 2" xfId="1761"/>
    <cellStyle name="Normal 2 2 7 3" xfId="1762"/>
    <cellStyle name="Normal 2 2 8" xfId="1763"/>
    <cellStyle name="Normal 2 2 8 2" xfId="1764"/>
    <cellStyle name="Normal 2 2 8 3" xfId="1765"/>
    <cellStyle name="Normal 2 2 9" xfId="1766"/>
    <cellStyle name="Normal 2 2 9 2" xfId="1767"/>
    <cellStyle name="Normal 2 2 9 3" xfId="1768"/>
    <cellStyle name="Normal 2 2_DISTRIBUTION INPUT" xfId="1769"/>
    <cellStyle name="Normal 2 20" xfId="1770"/>
    <cellStyle name="Normal 2 20 2" xfId="1771"/>
    <cellStyle name="Normal 2 20 3" xfId="1772"/>
    <cellStyle name="Normal 2 20 4" xfId="1773"/>
    <cellStyle name="Normal 2 20 5" xfId="1774"/>
    <cellStyle name="Normal 2 20 6" xfId="1775"/>
    <cellStyle name="Normal 2 20 7" xfId="1776"/>
    <cellStyle name="Normal 2 21" xfId="1777"/>
    <cellStyle name="Normal 2 21 2" xfId="1778"/>
    <cellStyle name="Normal 2 21 3" xfId="1779"/>
    <cellStyle name="Normal 2 21 4" xfId="1780"/>
    <cellStyle name="Normal 2 21 5" xfId="1781"/>
    <cellStyle name="Normal 2 21 6" xfId="1782"/>
    <cellStyle name="Normal 2 21 7" xfId="1783"/>
    <cellStyle name="Normal 2 22" xfId="1784"/>
    <cellStyle name="Normal 2 22 2" xfId="1785"/>
    <cellStyle name="Normal 2 22 3" xfId="1786"/>
    <cellStyle name="Normal 2 22 4" xfId="1787"/>
    <cellStyle name="Normal 2 22 5" xfId="1788"/>
    <cellStyle name="Normal 2 22 6" xfId="1789"/>
    <cellStyle name="Normal 2 22 7" xfId="1790"/>
    <cellStyle name="Normal 2 23" xfId="1791"/>
    <cellStyle name="Normal 2 23 2" xfId="1792"/>
    <cellStyle name="Normal 2 23 3" xfId="1793"/>
    <cellStyle name="Normal 2 23 4" xfId="1794"/>
    <cellStyle name="Normal 2 23 5" xfId="1795"/>
    <cellStyle name="Normal 2 23 6" xfId="1796"/>
    <cellStyle name="Normal 2 23 7" xfId="1797"/>
    <cellStyle name="Normal 2 24" xfId="1798"/>
    <cellStyle name="Normal 2 24 2" xfId="1799"/>
    <cellStyle name="Normal 2 24 3" xfId="1800"/>
    <cellStyle name="Normal 2 24 4" xfId="1801"/>
    <cellStyle name="Normal 2 24 5" xfId="1802"/>
    <cellStyle name="Normal 2 24 6" xfId="1803"/>
    <cellStyle name="Normal 2 24 7" xfId="1804"/>
    <cellStyle name="Normal 2 25" xfId="1805"/>
    <cellStyle name="Normal 2 25 2" xfId="1806"/>
    <cellStyle name="Normal 2 25 3" xfId="1807"/>
    <cellStyle name="Normal 2 25 4" xfId="1808"/>
    <cellStyle name="Normal 2 25 5" xfId="1809"/>
    <cellStyle name="Normal 2 25 6" xfId="1810"/>
    <cellStyle name="Normal 2 25 7" xfId="1811"/>
    <cellStyle name="Normal 2 26" xfId="1812"/>
    <cellStyle name="Normal 2 26 2" xfId="1813"/>
    <cellStyle name="Normal 2 26 3" xfId="1814"/>
    <cellStyle name="Normal 2 26 4" xfId="1815"/>
    <cellStyle name="Normal 2 26 5" xfId="1816"/>
    <cellStyle name="Normal 2 26 6" xfId="1817"/>
    <cellStyle name="Normal 2 26 7" xfId="1818"/>
    <cellStyle name="Normal 2 27" xfId="1819"/>
    <cellStyle name="Normal 2 27 2" xfId="1820"/>
    <cellStyle name="Normal 2 27 3" xfId="1821"/>
    <cellStyle name="Normal 2 27 4" xfId="1822"/>
    <cellStyle name="Normal 2 27 5" xfId="1823"/>
    <cellStyle name="Normal 2 27 6" xfId="1824"/>
    <cellStyle name="Normal 2 27 7" xfId="1825"/>
    <cellStyle name="Normal 2 28" xfId="1826"/>
    <cellStyle name="Normal 2 28 2" xfId="1827"/>
    <cellStyle name="Normal 2 28 3" xfId="1828"/>
    <cellStyle name="Normal 2 28 4" xfId="1829"/>
    <cellStyle name="Normal 2 28 5" xfId="1830"/>
    <cellStyle name="Normal 2 28 6" xfId="1831"/>
    <cellStyle name="Normal 2 28 7" xfId="1832"/>
    <cellStyle name="Normal 2 29" xfId="1833"/>
    <cellStyle name="Normal 2 29 2" xfId="1834"/>
    <cellStyle name="Normal 2 29 3" xfId="1835"/>
    <cellStyle name="Normal 2 29 4" xfId="1836"/>
    <cellStyle name="Normal 2 29 5" xfId="1837"/>
    <cellStyle name="Normal 2 29 6" xfId="1838"/>
    <cellStyle name="Normal 2 29 7" xfId="1839"/>
    <cellStyle name="Normal 2 3" xfId="1840"/>
    <cellStyle name="Normal 2 3 10" xfId="1841"/>
    <cellStyle name="Normal 2 3 10 2" xfId="1842"/>
    <cellStyle name="Normal 2 3 10 3" xfId="1843"/>
    <cellStyle name="Normal 2 3 11" xfId="1844"/>
    <cellStyle name="Normal 2 3 11 2" xfId="1845"/>
    <cellStyle name="Normal 2 3 11 3" xfId="1846"/>
    <cellStyle name="Normal 2 3 12" xfId="1847"/>
    <cellStyle name="Normal 2 3 12 2" xfId="1848"/>
    <cellStyle name="Normal 2 3 12 3" xfId="1849"/>
    <cellStyle name="Normal 2 3 13" xfId="1850"/>
    <cellStyle name="Normal 2 3 13 2" xfId="1851"/>
    <cellStyle name="Normal 2 3 13 3" xfId="1852"/>
    <cellStyle name="Normal 2 3 14" xfId="1853"/>
    <cellStyle name="Normal 2 3 14 2" xfId="1854"/>
    <cellStyle name="Normal 2 3 14 3" xfId="1855"/>
    <cellStyle name="Normal 2 3 15" xfId="1856"/>
    <cellStyle name="Normal 2 3 15 2" xfId="1857"/>
    <cellStyle name="Normal 2 3 15 3" xfId="1858"/>
    <cellStyle name="Normal 2 3 16" xfId="1859"/>
    <cellStyle name="Normal 2 3 16 2" xfId="1860"/>
    <cellStyle name="Normal 2 3 16 3" xfId="1861"/>
    <cellStyle name="Normal 2 3 17" xfId="1862"/>
    <cellStyle name="Normal 2 3 17 2" xfId="1863"/>
    <cellStyle name="Normal 2 3 17 3" xfId="1864"/>
    <cellStyle name="Normal 2 3 18" xfId="1865"/>
    <cellStyle name="Normal 2 3 18 2" xfId="1866"/>
    <cellStyle name="Normal 2 3 18 3" xfId="1867"/>
    <cellStyle name="Normal 2 3 19" xfId="1868"/>
    <cellStyle name="Normal 2 3 19 2" xfId="1869"/>
    <cellStyle name="Normal 2 3 19 3" xfId="1870"/>
    <cellStyle name="Normal 2 3 2" xfId="1871"/>
    <cellStyle name="Normal 2 3 2 2" xfId="1872"/>
    <cellStyle name="Normal 2 3 2 3" xfId="1873"/>
    <cellStyle name="Normal 2 3 20" xfId="1874"/>
    <cellStyle name="Normal 2 3 20 2" xfId="1875"/>
    <cellStyle name="Normal 2 3 20 3" xfId="1876"/>
    <cellStyle name="Normal 2 3 21" xfId="1877"/>
    <cellStyle name="Normal 2 3 21 2" xfId="1878"/>
    <cellStyle name="Normal 2 3 21 3" xfId="1879"/>
    <cellStyle name="Normal 2 3 22" xfId="1880"/>
    <cellStyle name="Normal 2 3 22 2" xfId="1881"/>
    <cellStyle name="Normal 2 3 22 3" xfId="1882"/>
    <cellStyle name="Normal 2 3 23" xfId="1883"/>
    <cellStyle name="Normal 2 3 24" xfId="1884"/>
    <cellStyle name="Normal 2 3 25" xfId="1885"/>
    <cellStyle name="Normal 2 3 26" xfId="1886"/>
    <cellStyle name="Normal 2 3 27" xfId="1887"/>
    <cellStyle name="Normal 2 3 28" xfId="1888"/>
    <cellStyle name="Normal 2 3 29" xfId="1889"/>
    <cellStyle name="Normal 2 3 3" xfId="1890"/>
    <cellStyle name="Normal 2 3 3 2" xfId="1891"/>
    <cellStyle name="Normal 2 3 3 3" xfId="1892"/>
    <cellStyle name="Normal 2 3 30" xfId="1893"/>
    <cellStyle name="Normal 2 3 31" xfId="1894"/>
    <cellStyle name="Normal 2 3 32" xfId="1895"/>
    <cellStyle name="Normal 2 3 33" xfId="1896"/>
    <cellStyle name="Normal 2 3 34" xfId="1897"/>
    <cellStyle name="Normal 2 3 35" xfId="1898"/>
    <cellStyle name="Normal 2 3 36" xfId="1899"/>
    <cellStyle name="Normal 2 3 37" xfId="1900"/>
    <cellStyle name="Normal 2 3 38" xfId="1901"/>
    <cellStyle name="Normal 2 3 39" xfId="1902"/>
    <cellStyle name="Normal 2 3 4" xfId="1903"/>
    <cellStyle name="Normal 2 3 4 2" xfId="1904"/>
    <cellStyle name="Normal 2 3 4 3" xfId="1905"/>
    <cellStyle name="Normal 2 3 40" xfId="1906"/>
    <cellStyle name="Normal 2 3 41" xfId="1907"/>
    <cellStyle name="Normal 2 3 42" xfId="1908"/>
    <cellStyle name="Normal 2 3 5" xfId="1909"/>
    <cellStyle name="Normal 2 3 5 2" xfId="1910"/>
    <cellStyle name="Normal 2 3 5 3" xfId="1911"/>
    <cellStyle name="Normal 2 3 6" xfId="1912"/>
    <cellStyle name="Normal 2 3 6 2" xfId="1913"/>
    <cellStyle name="Normal 2 3 6 3" xfId="1914"/>
    <cellStyle name="Normal 2 3 7" xfId="1915"/>
    <cellStyle name="Normal 2 3 7 2" xfId="1916"/>
    <cellStyle name="Normal 2 3 7 3" xfId="1917"/>
    <cellStyle name="Normal 2 3 8" xfId="1918"/>
    <cellStyle name="Normal 2 3 8 2" xfId="1919"/>
    <cellStyle name="Normal 2 3 8 3" xfId="1920"/>
    <cellStyle name="Normal 2 3 9" xfId="1921"/>
    <cellStyle name="Normal 2 3 9 2" xfId="1922"/>
    <cellStyle name="Normal 2 3 9 3" xfId="1923"/>
    <cellStyle name="Normal 2 3_DISTRIBUTION INPUT" xfId="1924"/>
    <cellStyle name="Normal 2 30" xfId="1925"/>
    <cellStyle name="Normal 2 30 2" xfId="1926"/>
    <cellStyle name="Normal 2 30 3" xfId="1927"/>
    <cellStyle name="Normal 2 30 4" xfId="1928"/>
    <cellStyle name="Normal 2 30 5" xfId="1929"/>
    <cellStyle name="Normal 2 30 6" xfId="1930"/>
    <cellStyle name="Normal 2 30 7" xfId="1931"/>
    <cellStyle name="Normal 2 31" xfId="1932"/>
    <cellStyle name="Normal 2 31 2" xfId="1933"/>
    <cellStyle name="Normal 2 31 3" xfId="1934"/>
    <cellStyle name="Normal 2 31 4" xfId="1935"/>
    <cellStyle name="Normal 2 31 5" xfId="1936"/>
    <cellStyle name="Normal 2 31 6" xfId="1937"/>
    <cellStyle name="Normal 2 31 7" xfId="1938"/>
    <cellStyle name="Normal 2 32" xfId="1939"/>
    <cellStyle name="Normal 2 32 2" xfId="1940"/>
    <cellStyle name="Normal 2 32 3" xfId="1941"/>
    <cellStyle name="Normal 2 32 4" xfId="1942"/>
    <cellStyle name="Normal 2 32 5" xfId="1943"/>
    <cellStyle name="Normal 2 32 6" xfId="1944"/>
    <cellStyle name="Normal 2 32 7" xfId="1945"/>
    <cellStyle name="Normal 2 33" xfId="1946"/>
    <cellStyle name="Normal 2 33 2" xfId="1947"/>
    <cellStyle name="Normal 2 33 3" xfId="1948"/>
    <cellStyle name="Normal 2 33 4" xfId="1949"/>
    <cellStyle name="Normal 2 33 5" xfId="1950"/>
    <cellStyle name="Normal 2 33 6" xfId="1951"/>
    <cellStyle name="Normal 2 33 7" xfId="1952"/>
    <cellStyle name="Normal 2 34" xfId="1953"/>
    <cellStyle name="Normal 2 34 2" xfId="1954"/>
    <cellStyle name="Normal 2 34 3" xfId="1955"/>
    <cellStyle name="Normal 2 34 4" xfId="1956"/>
    <cellStyle name="Normal 2 34 5" xfId="1957"/>
    <cellStyle name="Normal 2 34 6" xfId="1958"/>
    <cellStyle name="Normal 2 34 7" xfId="1959"/>
    <cellStyle name="Normal 2 35" xfId="1960"/>
    <cellStyle name="Normal 2 35 2" xfId="1961"/>
    <cellStyle name="Normal 2 35 3" xfId="1962"/>
    <cellStyle name="Normal 2 35 4" xfId="1963"/>
    <cellStyle name="Normal 2 35 5" xfId="1964"/>
    <cellStyle name="Normal 2 35 6" xfId="1965"/>
    <cellStyle name="Normal 2 35 7" xfId="1966"/>
    <cellStyle name="Normal 2 36" xfId="1967"/>
    <cellStyle name="Normal 2 36 2" xfId="1968"/>
    <cellStyle name="Normal 2 36 3" xfId="1969"/>
    <cellStyle name="Normal 2 36 4" xfId="1970"/>
    <cellStyle name="Normal 2 36 5" xfId="1971"/>
    <cellStyle name="Normal 2 36 6" xfId="1972"/>
    <cellStyle name="Normal 2 36 7" xfId="1973"/>
    <cellStyle name="Normal 2 37" xfId="1974"/>
    <cellStyle name="Normal 2 37 2" xfId="1975"/>
    <cellStyle name="Normal 2 37 3" xfId="1976"/>
    <cellStyle name="Normal 2 37 4" xfId="1977"/>
    <cellStyle name="Normal 2 37 5" xfId="1978"/>
    <cellStyle name="Normal 2 37 6" xfId="1979"/>
    <cellStyle name="Normal 2 37 7" xfId="1980"/>
    <cellStyle name="Normal 2 38" xfId="1981"/>
    <cellStyle name="Normal 2 38 2" xfId="1982"/>
    <cellStyle name="Normal 2 38 3" xfId="1983"/>
    <cellStyle name="Normal 2 38 4" xfId="1984"/>
    <cellStyle name="Normal 2 38 5" xfId="1985"/>
    <cellStyle name="Normal 2 38 6" xfId="1986"/>
    <cellStyle name="Normal 2 38 7" xfId="1987"/>
    <cellStyle name="Normal 2 39" xfId="1988"/>
    <cellStyle name="Normal 2 39 2" xfId="1989"/>
    <cellStyle name="Normal 2 39 3" xfId="1990"/>
    <cellStyle name="Normal 2 39 4" xfId="1991"/>
    <cellStyle name="Normal 2 39 5" xfId="1992"/>
    <cellStyle name="Normal 2 39 6" xfId="1993"/>
    <cellStyle name="Normal 2 39 7" xfId="1994"/>
    <cellStyle name="Normal 2 4" xfId="1995"/>
    <cellStyle name="Normal 2 4 10" xfId="1996"/>
    <cellStyle name="Normal 2 4 10 2" xfId="1997"/>
    <cellStyle name="Normal 2 4 10 3" xfId="1998"/>
    <cellStyle name="Normal 2 4 11" xfId="1999"/>
    <cellStyle name="Normal 2 4 11 2" xfId="2000"/>
    <cellStyle name="Normal 2 4 11 3" xfId="2001"/>
    <cellStyle name="Normal 2 4 12" xfId="2002"/>
    <cellStyle name="Normal 2 4 12 2" xfId="2003"/>
    <cellStyle name="Normal 2 4 12 3" xfId="2004"/>
    <cellStyle name="Normal 2 4 13" xfId="2005"/>
    <cellStyle name="Normal 2 4 13 2" xfId="2006"/>
    <cellStyle name="Normal 2 4 13 3" xfId="2007"/>
    <cellStyle name="Normal 2 4 14" xfId="2008"/>
    <cellStyle name="Normal 2 4 14 2" xfId="2009"/>
    <cellStyle name="Normal 2 4 14 3" xfId="2010"/>
    <cellStyle name="Normal 2 4 15" xfId="2011"/>
    <cellStyle name="Normal 2 4 15 2" xfId="2012"/>
    <cellStyle name="Normal 2 4 15 3" xfId="2013"/>
    <cellStyle name="Normal 2 4 16" xfId="2014"/>
    <cellStyle name="Normal 2 4 16 2" xfId="2015"/>
    <cellStyle name="Normal 2 4 16 3" xfId="2016"/>
    <cellStyle name="Normal 2 4 17" xfId="2017"/>
    <cellStyle name="Normal 2 4 17 2" xfId="2018"/>
    <cellStyle name="Normal 2 4 17 3" xfId="2019"/>
    <cellStyle name="Normal 2 4 18" xfId="2020"/>
    <cellStyle name="Normal 2 4 18 2" xfId="2021"/>
    <cellStyle name="Normal 2 4 18 3" xfId="2022"/>
    <cellStyle name="Normal 2 4 19" xfId="2023"/>
    <cellStyle name="Normal 2 4 19 2" xfId="2024"/>
    <cellStyle name="Normal 2 4 19 3" xfId="2025"/>
    <cellStyle name="Normal 2 4 2" xfId="2026"/>
    <cellStyle name="Normal 2 4 2 2" xfId="2027"/>
    <cellStyle name="Normal 2 4 2 3" xfId="2028"/>
    <cellStyle name="Normal 2 4 20" xfId="2029"/>
    <cellStyle name="Normal 2 4 20 2" xfId="2030"/>
    <cellStyle name="Normal 2 4 20 3" xfId="2031"/>
    <cellStyle name="Normal 2 4 21" xfId="2032"/>
    <cellStyle name="Normal 2 4 21 2" xfId="2033"/>
    <cellStyle name="Normal 2 4 21 3" xfId="2034"/>
    <cellStyle name="Normal 2 4 22" xfId="2035"/>
    <cellStyle name="Normal 2 4 22 2" xfId="2036"/>
    <cellStyle name="Normal 2 4 22 3" xfId="2037"/>
    <cellStyle name="Normal 2 4 23" xfId="2038"/>
    <cellStyle name="Normal 2 4 24" xfId="2039"/>
    <cellStyle name="Normal 2 4 25" xfId="2040"/>
    <cellStyle name="Normal 2 4 26" xfId="2041"/>
    <cellStyle name="Normal 2 4 27" xfId="2042"/>
    <cellStyle name="Normal 2 4 28" xfId="2043"/>
    <cellStyle name="Normal 2 4 29" xfId="2044"/>
    <cellStyle name="Normal 2 4 3" xfId="2045"/>
    <cellStyle name="Normal 2 4 3 2" xfId="2046"/>
    <cellStyle name="Normal 2 4 3 3" xfId="2047"/>
    <cellStyle name="Normal 2 4 30" xfId="2048"/>
    <cellStyle name="Normal 2 4 31" xfId="2049"/>
    <cellStyle name="Normal 2 4 32" xfId="2050"/>
    <cellStyle name="Normal 2 4 33" xfId="2051"/>
    <cellStyle name="Normal 2 4 34" xfId="2052"/>
    <cellStyle name="Normal 2 4 35" xfId="2053"/>
    <cellStyle name="Normal 2 4 36" xfId="2054"/>
    <cellStyle name="Normal 2 4 37" xfId="2055"/>
    <cellStyle name="Normal 2 4 38" xfId="2056"/>
    <cellStyle name="Normal 2 4 39" xfId="2057"/>
    <cellStyle name="Normal 2 4 4" xfId="2058"/>
    <cellStyle name="Normal 2 4 4 2" xfId="2059"/>
    <cellStyle name="Normal 2 4 4 3" xfId="2060"/>
    <cellStyle name="Normal 2 4 40" xfId="2061"/>
    <cellStyle name="Normal 2 4 41" xfId="2062"/>
    <cellStyle name="Normal 2 4 42" xfId="2063"/>
    <cellStyle name="Normal 2 4 5" xfId="2064"/>
    <cellStyle name="Normal 2 4 5 2" xfId="2065"/>
    <cellStyle name="Normal 2 4 5 3" xfId="2066"/>
    <cellStyle name="Normal 2 4 6" xfId="2067"/>
    <cellStyle name="Normal 2 4 6 2" xfId="2068"/>
    <cellStyle name="Normal 2 4 6 3" xfId="2069"/>
    <cellStyle name="Normal 2 4 7" xfId="2070"/>
    <cellStyle name="Normal 2 4 7 2" xfId="2071"/>
    <cellStyle name="Normal 2 4 7 3" xfId="2072"/>
    <cellStyle name="Normal 2 4 8" xfId="2073"/>
    <cellStyle name="Normal 2 4 8 2" xfId="2074"/>
    <cellStyle name="Normal 2 4 8 3" xfId="2075"/>
    <cellStyle name="Normal 2 4 9" xfId="2076"/>
    <cellStyle name="Normal 2 4 9 2" xfId="2077"/>
    <cellStyle name="Normal 2 4 9 3" xfId="2078"/>
    <cellStyle name="Normal 2 4_DISTRIBUTION INPUT" xfId="2079"/>
    <cellStyle name="Normal 2 40" xfId="2080"/>
    <cellStyle name="Normal 2 41" xfId="2081"/>
    <cellStyle name="Normal 2 5" xfId="2082"/>
    <cellStyle name="Normal 2 5 10" xfId="2083"/>
    <cellStyle name="Normal 2 5 10 2" xfId="2084"/>
    <cellStyle name="Normal 2 5 10 3" xfId="2085"/>
    <cellStyle name="Normal 2 5 11" xfId="2086"/>
    <cellStyle name="Normal 2 5 11 2" xfId="2087"/>
    <cellStyle name="Normal 2 5 11 3" xfId="2088"/>
    <cellStyle name="Normal 2 5 12" xfId="2089"/>
    <cellStyle name="Normal 2 5 12 2" xfId="2090"/>
    <cellStyle name="Normal 2 5 12 3" xfId="2091"/>
    <cellStyle name="Normal 2 5 13" xfId="2092"/>
    <cellStyle name="Normal 2 5 13 2" xfId="2093"/>
    <cellStyle name="Normal 2 5 13 3" xfId="2094"/>
    <cellStyle name="Normal 2 5 14" xfId="2095"/>
    <cellStyle name="Normal 2 5 14 2" xfId="2096"/>
    <cellStyle name="Normal 2 5 14 3" xfId="2097"/>
    <cellStyle name="Normal 2 5 15" xfId="2098"/>
    <cellStyle name="Normal 2 5 15 2" xfId="2099"/>
    <cellStyle name="Normal 2 5 15 3" xfId="2100"/>
    <cellStyle name="Normal 2 5 16" xfId="2101"/>
    <cellStyle name="Normal 2 5 16 2" xfId="2102"/>
    <cellStyle name="Normal 2 5 16 3" xfId="2103"/>
    <cellStyle name="Normal 2 5 17" xfId="2104"/>
    <cellStyle name="Normal 2 5 17 2" xfId="2105"/>
    <cellStyle name="Normal 2 5 17 3" xfId="2106"/>
    <cellStyle name="Normal 2 5 18" xfId="2107"/>
    <cellStyle name="Normal 2 5 18 2" xfId="2108"/>
    <cellStyle name="Normal 2 5 18 3" xfId="2109"/>
    <cellStyle name="Normal 2 5 19" xfId="2110"/>
    <cellStyle name="Normal 2 5 19 2" xfId="2111"/>
    <cellStyle name="Normal 2 5 19 3" xfId="2112"/>
    <cellStyle name="Normal 2 5 2" xfId="2113"/>
    <cellStyle name="Normal 2 5 2 2" xfId="2114"/>
    <cellStyle name="Normal 2 5 2 3" xfId="2115"/>
    <cellStyle name="Normal 2 5 20" xfId="2116"/>
    <cellStyle name="Normal 2 5 20 2" xfId="2117"/>
    <cellStyle name="Normal 2 5 20 3" xfId="2118"/>
    <cellStyle name="Normal 2 5 21" xfId="2119"/>
    <cellStyle name="Normal 2 5 21 2" xfId="2120"/>
    <cellStyle name="Normal 2 5 21 3" xfId="2121"/>
    <cellStyle name="Normal 2 5 22" xfId="2122"/>
    <cellStyle name="Normal 2 5 22 2" xfId="2123"/>
    <cellStyle name="Normal 2 5 22 3" xfId="2124"/>
    <cellStyle name="Normal 2 5 23" xfId="2125"/>
    <cellStyle name="Normal 2 5 24" xfId="2126"/>
    <cellStyle name="Normal 2 5 25" xfId="2127"/>
    <cellStyle name="Normal 2 5 26" xfId="2128"/>
    <cellStyle name="Normal 2 5 27" xfId="2129"/>
    <cellStyle name="Normal 2 5 28" xfId="2130"/>
    <cellStyle name="Normal 2 5 29" xfId="2131"/>
    <cellStyle name="Normal 2 5 3" xfId="2132"/>
    <cellStyle name="Normal 2 5 3 2" xfId="2133"/>
    <cellStyle name="Normal 2 5 3 3" xfId="2134"/>
    <cellStyle name="Normal 2 5 30" xfId="2135"/>
    <cellStyle name="Normal 2 5 31" xfId="2136"/>
    <cellStyle name="Normal 2 5 32" xfId="2137"/>
    <cellStyle name="Normal 2 5 33" xfId="2138"/>
    <cellStyle name="Normal 2 5 34" xfId="2139"/>
    <cellStyle name="Normal 2 5 35" xfId="2140"/>
    <cellStyle name="Normal 2 5 36" xfId="2141"/>
    <cellStyle name="Normal 2 5 37" xfId="2142"/>
    <cellStyle name="Normal 2 5 38" xfId="2143"/>
    <cellStyle name="Normal 2 5 39" xfId="2144"/>
    <cellStyle name="Normal 2 5 4" xfId="2145"/>
    <cellStyle name="Normal 2 5 4 2" xfId="2146"/>
    <cellStyle name="Normal 2 5 4 3" xfId="2147"/>
    <cellStyle name="Normal 2 5 40" xfId="2148"/>
    <cellStyle name="Normal 2 5 41" xfId="2149"/>
    <cellStyle name="Normal 2 5 42" xfId="2150"/>
    <cellStyle name="Normal 2 5 5" xfId="2151"/>
    <cellStyle name="Normal 2 5 5 2" xfId="2152"/>
    <cellStyle name="Normal 2 5 5 3" xfId="2153"/>
    <cellStyle name="Normal 2 5 6" xfId="2154"/>
    <cellStyle name="Normal 2 5 6 2" xfId="2155"/>
    <cellStyle name="Normal 2 5 6 3" xfId="2156"/>
    <cellStyle name="Normal 2 5 7" xfId="2157"/>
    <cellStyle name="Normal 2 5 7 2" xfId="2158"/>
    <cellStyle name="Normal 2 5 7 3" xfId="2159"/>
    <cellStyle name="Normal 2 5 8" xfId="2160"/>
    <cellStyle name="Normal 2 5 8 2" xfId="2161"/>
    <cellStyle name="Normal 2 5 8 3" xfId="2162"/>
    <cellStyle name="Normal 2 5 9" xfId="2163"/>
    <cellStyle name="Normal 2 5 9 2" xfId="2164"/>
    <cellStyle name="Normal 2 5 9 3" xfId="2165"/>
    <cellStyle name="Normal 2 5_DISTRIBUTION INPUT" xfId="2166"/>
    <cellStyle name="Normal 2 6" xfId="2167"/>
    <cellStyle name="Normal 2 6 10" xfId="2168"/>
    <cellStyle name="Normal 2 6 10 2" xfId="2169"/>
    <cellStyle name="Normal 2 6 10 3" xfId="2170"/>
    <cellStyle name="Normal 2 6 11" xfId="2171"/>
    <cellStyle name="Normal 2 6 11 2" xfId="2172"/>
    <cellStyle name="Normal 2 6 11 3" xfId="2173"/>
    <cellStyle name="Normal 2 6 12" xfId="2174"/>
    <cellStyle name="Normal 2 6 12 2" xfId="2175"/>
    <cellStyle name="Normal 2 6 12 3" xfId="2176"/>
    <cellStyle name="Normal 2 6 13" xfId="2177"/>
    <cellStyle name="Normal 2 6 13 2" xfId="2178"/>
    <cellStyle name="Normal 2 6 13 3" xfId="2179"/>
    <cellStyle name="Normal 2 6 14" xfId="2180"/>
    <cellStyle name="Normal 2 6 14 2" xfId="2181"/>
    <cellStyle name="Normal 2 6 14 3" xfId="2182"/>
    <cellStyle name="Normal 2 6 15" xfId="2183"/>
    <cellStyle name="Normal 2 6 15 2" xfId="2184"/>
    <cellStyle name="Normal 2 6 15 3" xfId="2185"/>
    <cellStyle name="Normal 2 6 16" xfId="2186"/>
    <cellStyle name="Normal 2 6 16 2" xfId="2187"/>
    <cellStyle name="Normal 2 6 16 3" xfId="2188"/>
    <cellStyle name="Normal 2 6 17" xfId="2189"/>
    <cellStyle name="Normal 2 6 17 2" xfId="2190"/>
    <cellStyle name="Normal 2 6 17 3" xfId="2191"/>
    <cellStyle name="Normal 2 6 18" xfId="2192"/>
    <cellStyle name="Normal 2 6 18 2" xfId="2193"/>
    <cellStyle name="Normal 2 6 18 3" xfId="2194"/>
    <cellStyle name="Normal 2 6 19" xfId="2195"/>
    <cellStyle name="Normal 2 6 19 2" xfId="2196"/>
    <cellStyle name="Normal 2 6 19 3" xfId="2197"/>
    <cellStyle name="Normal 2 6 2" xfId="2198"/>
    <cellStyle name="Normal 2 6 2 2" xfId="2199"/>
    <cellStyle name="Normal 2 6 2 3" xfId="2200"/>
    <cellStyle name="Normal 2 6 20" xfId="2201"/>
    <cellStyle name="Normal 2 6 20 2" xfId="2202"/>
    <cellStyle name="Normal 2 6 20 3" xfId="2203"/>
    <cellStyle name="Normal 2 6 21" xfId="2204"/>
    <cellStyle name="Normal 2 6 21 2" xfId="2205"/>
    <cellStyle name="Normal 2 6 21 3" xfId="2206"/>
    <cellStyle name="Normal 2 6 22" xfId="2207"/>
    <cellStyle name="Normal 2 6 22 2" xfId="2208"/>
    <cellStyle name="Normal 2 6 22 3" xfId="2209"/>
    <cellStyle name="Normal 2 6 23" xfId="2210"/>
    <cellStyle name="Normal 2 6 24" xfId="2211"/>
    <cellStyle name="Normal 2 6 25" xfId="2212"/>
    <cellStyle name="Normal 2 6 26" xfId="2213"/>
    <cellStyle name="Normal 2 6 27" xfId="2214"/>
    <cellStyle name="Normal 2 6 28" xfId="2215"/>
    <cellStyle name="Normal 2 6 29" xfId="2216"/>
    <cellStyle name="Normal 2 6 3" xfId="2217"/>
    <cellStyle name="Normal 2 6 3 2" xfId="2218"/>
    <cellStyle name="Normal 2 6 3 3" xfId="2219"/>
    <cellStyle name="Normal 2 6 30" xfId="2220"/>
    <cellStyle name="Normal 2 6 31" xfId="2221"/>
    <cellStyle name="Normal 2 6 32" xfId="2222"/>
    <cellStyle name="Normal 2 6 33" xfId="2223"/>
    <cellStyle name="Normal 2 6 34" xfId="2224"/>
    <cellStyle name="Normal 2 6 35" xfId="2225"/>
    <cellStyle name="Normal 2 6 36" xfId="2226"/>
    <cellStyle name="Normal 2 6 37" xfId="2227"/>
    <cellStyle name="Normal 2 6 38" xfId="2228"/>
    <cellStyle name="Normal 2 6 39" xfId="2229"/>
    <cellStyle name="Normal 2 6 4" xfId="2230"/>
    <cellStyle name="Normal 2 6 4 2" xfId="2231"/>
    <cellStyle name="Normal 2 6 4 3" xfId="2232"/>
    <cellStyle name="Normal 2 6 40" xfId="2233"/>
    <cellStyle name="Normal 2 6 41" xfId="2234"/>
    <cellStyle name="Normal 2 6 42" xfId="2235"/>
    <cellStyle name="Normal 2 6 5" xfId="2236"/>
    <cellStyle name="Normal 2 6 5 2" xfId="2237"/>
    <cellStyle name="Normal 2 6 5 3" xfId="2238"/>
    <cellStyle name="Normal 2 6 6" xfId="2239"/>
    <cellStyle name="Normal 2 6 6 2" xfId="2240"/>
    <cellStyle name="Normal 2 6 6 3" xfId="2241"/>
    <cellStyle name="Normal 2 6 7" xfId="2242"/>
    <cellStyle name="Normal 2 6 7 2" xfId="2243"/>
    <cellStyle name="Normal 2 6 7 3" xfId="2244"/>
    <cellStyle name="Normal 2 6 8" xfId="2245"/>
    <cellStyle name="Normal 2 6 8 2" xfId="2246"/>
    <cellStyle name="Normal 2 6 8 3" xfId="2247"/>
    <cellStyle name="Normal 2 6 9" xfId="2248"/>
    <cellStyle name="Normal 2 6 9 2" xfId="2249"/>
    <cellStyle name="Normal 2 6 9 3" xfId="2250"/>
    <cellStyle name="Normal 2 6_DISTRIBUTION INPUT" xfId="2251"/>
    <cellStyle name="Normal 2 7" xfId="2252"/>
    <cellStyle name="Normal 2 7 10" xfId="2253"/>
    <cellStyle name="Normal 2 7 10 2" xfId="2254"/>
    <cellStyle name="Normal 2 7 10 3" xfId="2255"/>
    <cellStyle name="Normal 2 7 11" xfId="2256"/>
    <cellStyle name="Normal 2 7 11 2" xfId="2257"/>
    <cellStyle name="Normal 2 7 11 3" xfId="2258"/>
    <cellStyle name="Normal 2 7 12" xfId="2259"/>
    <cellStyle name="Normal 2 7 12 2" xfId="2260"/>
    <cellStyle name="Normal 2 7 12 3" xfId="2261"/>
    <cellStyle name="Normal 2 7 13" xfId="2262"/>
    <cellStyle name="Normal 2 7 13 2" xfId="2263"/>
    <cellStyle name="Normal 2 7 13 3" xfId="2264"/>
    <cellStyle name="Normal 2 7 14" xfId="2265"/>
    <cellStyle name="Normal 2 7 14 2" xfId="2266"/>
    <cellStyle name="Normal 2 7 14 3" xfId="2267"/>
    <cellStyle name="Normal 2 7 15" xfId="2268"/>
    <cellStyle name="Normal 2 7 15 2" xfId="2269"/>
    <cellStyle name="Normal 2 7 16" xfId="2270"/>
    <cellStyle name="Normal 2 7 17" xfId="2271"/>
    <cellStyle name="Normal 2 7 18" xfId="2272"/>
    <cellStyle name="Normal 2 7 19" xfId="2273"/>
    <cellStyle name="Normal 2 7 2" xfId="2274"/>
    <cellStyle name="Normal 2 7 20" xfId="2275"/>
    <cellStyle name="Normal 2 7 21" xfId="2276"/>
    <cellStyle name="Normal 2 7 22" xfId="2277"/>
    <cellStyle name="Normal 2 7 23" xfId="2278"/>
    <cellStyle name="Normal 2 7 24" xfId="2279"/>
    <cellStyle name="Normal 2 7 25" xfId="2280"/>
    <cellStyle name="Normal 2 7 26" xfId="2281"/>
    <cellStyle name="Normal 2 7 27" xfId="2282"/>
    <cellStyle name="Normal 2 7 28" xfId="2283"/>
    <cellStyle name="Normal 2 7 29" xfId="2284"/>
    <cellStyle name="Normal 2 7 3" xfId="2285"/>
    <cellStyle name="Normal 2 7 30" xfId="2286"/>
    <cellStyle name="Normal 2 7 31" xfId="2287"/>
    <cellStyle name="Normal 2 7 32" xfId="2288"/>
    <cellStyle name="Normal 2 7 33" xfId="2289"/>
    <cellStyle name="Normal 2 7 34" xfId="2290"/>
    <cellStyle name="Normal 2 7 35" xfId="2291"/>
    <cellStyle name="Normal 2 7 36" xfId="2292"/>
    <cellStyle name="Normal 2 7 37" xfId="2293"/>
    <cellStyle name="Normal 2 7 38" xfId="2294"/>
    <cellStyle name="Normal 2 7 39" xfId="2295"/>
    <cellStyle name="Normal 2 7 4" xfId="2296"/>
    <cellStyle name="Normal 2 7 5" xfId="2297"/>
    <cellStyle name="Normal 2 7 6" xfId="2298"/>
    <cellStyle name="Normal 2 7 7" xfId="2299"/>
    <cellStyle name="Normal 2 7 8" xfId="2300"/>
    <cellStyle name="Normal 2 7 9" xfId="2301"/>
    <cellStyle name="Normal 2 7_DISTRIBUTION INPUT" xfId="2302"/>
    <cellStyle name="Normal 2 8" xfId="2303"/>
    <cellStyle name="Normal 2 8 10" xfId="2304"/>
    <cellStyle name="Normal 2 8 11" xfId="2305"/>
    <cellStyle name="Normal 2 8 12" xfId="2306"/>
    <cellStyle name="Normal 2 8 13" xfId="2307"/>
    <cellStyle name="Normal 2 8 14" xfId="2308"/>
    <cellStyle name="Normal 2 8 15" xfId="2309"/>
    <cellStyle name="Normal 2 8 16" xfId="2310"/>
    <cellStyle name="Normal 2 8 17" xfId="2311"/>
    <cellStyle name="Normal 2 8 18" xfId="2312"/>
    <cellStyle name="Normal 2 8 19" xfId="2313"/>
    <cellStyle name="Normal 2 8 2" xfId="2314"/>
    <cellStyle name="Normal 2 8 20" xfId="2315"/>
    <cellStyle name="Normal 2 8 21" xfId="2316"/>
    <cellStyle name="Normal 2 8 22" xfId="2317"/>
    <cellStyle name="Normal 2 8 23" xfId="2318"/>
    <cellStyle name="Normal 2 8 24" xfId="2319"/>
    <cellStyle name="Normal 2 8 25" xfId="2320"/>
    <cellStyle name="Normal 2 8 26" xfId="2321"/>
    <cellStyle name="Normal 2 8 27" xfId="2322"/>
    <cellStyle name="Normal 2 8 28" xfId="2323"/>
    <cellStyle name="Normal 2 8 29" xfId="2324"/>
    <cellStyle name="Normal 2 8 3" xfId="2325"/>
    <cellStyle name="Normal 2 8 30" xfId="2326"/>
    <cellStyle name="Normal 2 8 31" xfId="2327"/>
    <cellStyle name="Normal 2 8 32" xfId="2328"/>
    <cellStyle name="Normal 2 8 33" xfId="2329"/>
    <cellStyle name="Normal 2 8 34" xfId="2330"/>
    <cellStyle name="Normal 2 8 35" xfId="2331"/>
    <cellStyle name="Normal 2 8 36" xfId="2332"/>
    <cellStyle name="Normal 2 8 37" xfId="2333"/>
    <cellStyle name="Normal 2 8 38" xfId="2334"/>
    <cellStyle name="Normal 2 8 39" xfId="2335"/>
    <cellStyle name="Normal 2 8 4" xfId="2336"/>
    <cellStyle name="Normal 2 8 5" xfId="2337"/>
    <cellStyle name="Normal 2 8 6" xfId="2338"/>
    <cellStyle name="Normal 2 8 7" xfId="2339"/>
    <cellStyle name="Normal 2 8 8" xfId="2340"/>
    <cellStyle name="Normal 2 8 9" xfId="2341"/>
    <cellStyle name="Normal 2 8_DISTRIBUTION INPUT" xfId="2342"/>
    <cellStyle name="Normal 2 9" xfId="2343"/>
    <cellStyle name="Normal 2 9 10" xfId="2344"/>
    <cellStyle name="Normal 2 9 11" xfId="2345"/>
    <cellStyle name="Normal 2 9 12" xfId="2346"/>
    <cellStyle name="Normal 2 9 13" xfId="2347"/>
    <cellStyle name="Normal 2 9 14" xfId="2348"/>
    <cellStyle name="Normal 2 9 15" xfId="2349"/>
    <cellStyle name="Normal 2 9 16" xfId="2350"/>
    <cellStyle name="Normal 2 9 17" xfId="2351"/>
    <cellStyle name="Normal 2 9 18" xfId="2352"/>
    <cellStyle name="Normal 2 9 19" xfId="2353"/>
    <cellStyle name="Normal 2 9 2" xfId="2354"/>
    <cellStyle name="Normal 2 9 20" xfId="2355"/>
    <cellStyle name="Normal 2 9 21" xfId="2356"/>
    <cellStyle name="Normal 2 9 22" xfId="2357"/>
    <cellStyle name="Normal 2 9 23" xfId="2358"/>
    <cellStyle name="Normal 2 9 24" xfId="2359"/>
    <cellStyle name="Normal 2 9 25" xfId="2360"/>
    <cellStyle name="Normal 2 9 26" xfId="2361"/>
    <cellStyle name="Normal 2 9 27" xfId="2362"/>
    <cellStyle name="Normal 2 9 28" xfId="2363"/>
    <cellStyle name="Normal 2 9 29" xfId="2364"/>
    <cellStyle name="Normal 2 9 3" xfId="2365"/>
    <cellStyle name="Normal 2 9 30" xfId="2366"/>
    <cellStyle name="Normal 2 9 31" xfId="2367"/>
    <cellStyle name="Normal 2 9 32" xfId="2368"/>
    <cellStyle name="Normal 2 9 33" xfId="2369"/>
    <cellStyle name="Normal 2 9 34" xfId="2370"/>
    <cellStyle name="Normal 2 9 35" xfId="2371"/>
    <cellStyle name="Normal 2 9 36" xfId="2372"/>
    <cellStyle name="Normal 2 9 37" xfId="2373"/>
    <cellStyle name="Normal 2 9 38" xfId="2374"/>
    <cellStyle name="Normal 2 9 39" xfId="2375"/>
    <cellStyle name="Normal 2 9 4" xfId="2376"/>
    <cellStyle name="Normal 2 9 5" xfId="2377"/>
    <cellStyle name="Normal 2 9 6" xfId="2378"/>
    <cellStyle name="Normal 2 9 7" xfId="2379"/>
    <cellStyle name="Normal 2 9 8" xfId="2380"/>
    <cellStyle name="Normal 2 9 9" xfId="2381"/>
    <cellStyle name="Normal 2 9_DISTRIBUTION INPUT" xfId="2382"/>
    <cellStyle name="Normal 2_Damage" xfId="2383"/>
    <cellStyle name="Normal 20" xfId="2384"/>
    <cellStyle name="Normal 21" xfId="2385"/>
    <cellStyle name="Normal 22" xfId="2386"/>
    <cellStyle name="Normal 23" xfId="2387"/>
    <cellStyle name="Normal 23 7" xfId="2388"/>
    <cellStyle name="Normal 24" xfId="2389"/>
    <cellStyle name="Normal 25" xfId="2390"/>
    <cellStyle name="Normal 26" xfId="2391"/>
    <cellStyle name="Normal 27" xfId="2392"/>
    <cellStyle name="Normal 28" xfId="2393"/>
    <cellStyle name="Normal 29" xfId="2394"/>
    <cellStyle name="Normal 3" xfId="6"/>
    <cellStyle name="Normal 3 10" xfId="2395"/>
    <cellStyle name="Normal 3 10 2" xfId="2396"/>
    <cellStyle name="Normal 3 10 2 2" xfId="2397"/>
    <cellStyle name="Normal 3 10 2 3" xfId="2398"/>
    <cellStyle name="Normal 3 10 2 4" xfId="2399"/>
    <cellStyle name="Normal 3 10 3" xfId="2400"/>
    <cellStyle name="Normal 3 10 3 2" xfId="2401"/>
    <cellStyle name="Normal 3 10 3 3" xfId="2402"/>
    <cellStyle name="Normal 3 10 3 4" xfId="2403"/>
    <cellStyle name="Normal 3 10 4" xfId="2404"/>
    <cellStyle name="Normal 3 10 4 2" xfId="2405"/>
    <cellStyle name="Normal 3 10 4 3" xfId="2406"/>
    <cellStyle name="Normal 3 10 4 4" xfId="2407"/>
    <cellStyle name="Normal 3 10 5" xfId="2408"/>
    <cellStyle name="Normal 3 10 5 2" xfId="2409"/>
    <cellStyle name="Normal 3 10 5 3" xfId="2410"/>
    <cellStyle name="Normal 3 10 5 4" xfId="2411"/>
    <cellStyle name="Normal 3 10 6" xfId="2412"/>
    <cellStyle name="Normal 3 10 6 2" xfId="2413"/>
    <cellStyle name="Normal 3 10 6 3" xfId="2414"/>
    <cellStyle name="Normal 3 10 6 4" xfId="2415"/>
    <cellStyle name="Normal 3 10 7" xfId="2416"/>
    <cellStyle name="Normal 3 10 7 2" xfId="2417"/>
    <cellStyle name="Normal 3 10 7 3" xfId="2418"/>
    <cellStyle name="Normal 3 10 7 4" xfId="2419"/>
    <cellStyle name="Normal 3 10 8" xfId="2420"/>
    <cellStyle name="Normal 3 10 8 2" xfId="2421"/>
    <cellStyle name="Normal 3 10 8 3" xfId="2422"/>
    <cellStyle name="Normal 3 10 8 4" xfId="2423"/>
    <cellStyle name="Normal 3 10 9" xfId="2424"/>
    <cellStyle name="Normal 3 10_DISTRIBUTION INPUT" xfId="2425"/>
    <cellStyle name="Normal 3 11" xfId="2426"/>
    <cellStyle name="Normal 3 12" xfId="2427"/>
    <cellStyle name="Normal 3 13" xfId="2428"/>
    <cellStyle name="Normal 3 14" xfId="2429"/>
    <cellStyle name="Normal 3 15" xfId="2430"/>
    <cellStyle name="Normal 3 16" xfId="2431"/>
    <cellStyle name="Normal 3 17" xfId="2432"/>
    <cellStyle name="Normal 3 18" xfId="2433"/>
    <cellStyle name="Normal 3 19" xfId="2434"/>
    <cellStyle name="Normal 3 2" xfId="2435"/>
    <cellStyle name="Normal 3 2 2" xfId="2436"/>
    <cellStyle name="Normal 3 2 2 2" xfId="2437"/>
    <cellStyle name="Normal 3 2 2 3" xfId="2438"/>
    <cellStyle name="Normal 3 2 2 4" xfId="2439"/>
    <cellStyle name="Normal 3 2 3" xfId="2440"/>
    <cellStyle name="Normal 3 2 3 2" xfId="2441"/>
    <cellStyle name="Normal 3 2 3 3" xfId="2442"/>
    <cellStyle name="Normal 3 2 3 4" xfId="2443"/>
    <cellStyle name="Normal 3 2 4" xfId="2444"/>
    <cellStyle name="Normal 3 2 4 2" xfId="2445"/>
    <cellStyle name="Normal 3 2 4 3" xfId="2446"/>
    <cellStyle name="Normal 3 2 4 4" xfId="2447"/>
    <cellStyle name="Normal 3 2 5" xfId="2448"/>
    <cellStyle name="Normal 3 2 5 2" xfId="2449"/>
    <cellStyle name="Normal 3 2 5 3" xfId="2450"/>
    <cellStyle name="Normal 3 2 5 4" xfId="2451"/>
    <cellStyle name="Normal 3 2 6" xfId="2452"/>
    <cellStyle name="Normal 3 2 6 2" xfId="2453"/>
    <cellStyle name="Normal 3 2 6 3" xfId="2454"/>
    <cellStyle name="Normal 3 2 6 4" xfId="2455"/>
    <cellStyle name="Normal 3 2 7" xfId="2456"/>
    <cellStyle name="Normal 3 2 7 2" xfId="2457"/>
    <cellStyle name="Normal 3 2 7 3" xfId="2458"/>
    <cellStyle name="Normal 3 2 7 4" xfId="2459"/>
    <cellStyle name="Normal 3 2 8" xfId="2460"/>
    <cellStyle name="Normal 3 2 8 2" xfId="2461"/>
    <cellStyle name="Normal 3 2 8 3" xfId="2462"/>
    <cellStyle name="Normal 3 2 8 4" xfId="2463"/>
    <cellStyle name="Normal 3 2 9" xfId="2464"/>
    <cellStyle name="Normal 3 2_DISTRIBUTION INPUT" xfId="2465"/>
    <cellStyle name="Normal 3 20" xfId="2466"/>
    <cellStyle name="Normal 3 21" xfId="2467"/>
    <cellStyle name="Normal 3 22" xfId="2468"/>
    <cellStyle name="Normal 3 23" xfId="2469"/>
    <cellStyle name="Normal 3 24" xfId="2470"/>
    <cellStyle name="Normal 3 25" xfId="2471"/>
    <cellStyle name="Normal 3 26" xfId="2472"/>
    <cellStyle name="Normal 3 27" xfId="2473"/>
    <cellStyle name="Normal 3 28" xfId="2474"/>
    <cellStyle name="Normal 3 29" xfId="2475"/>
    <cellStyle name="Normal 3 3" xfId="2476"/>
    <cellStyle name="Normal 3 3 2" xfId="2477"/>
    <cellStyle name="Normal 3 3 2 2" xfId="2478"/>
    <cellStyle name="Normal 3 3 2 3" xfId="2479"/>
    <cellStyle name="Normal 3 3 2 4" xfId="2480"/>
    <cellStyle name="Normal 3 3 3" xfId="2481"/>
    <cellStyle name="Normal 3 3 3 2" xfId="2482"/>
    <cellStyle name="Normal 3 3 3 3" xfId="2483"/>
    <cellStyle name="Normal 3 3 3 4" xfId="2484"/>
    <cellStyle name="Normal 3 3 4" xfId="2485"/>
    <cellStyle name="Normal 3 3 4 2" xfId="2486"/>
    <cellStyle name="Normal 3 3 4 3" xfId="2487"/>
    <cellStyle name="Normal 3 3 4 4" xfId="2488"/>
    <cellStyle name="Normal 3 3 5" xfId="2489"/>
    <cellStyle name="Normal 3 3 5 2" xfId="2490"/>
    <cellStyle name="Normal 3 3 5 3" xfId="2491"/>
    <cellStyle name="Normal 3 3 5 4" xfId="2492"/>
    <cellStyle name="Normal 3 3 6" xfId="2493"/>
    <cellStyle name="Normal 3 3 6 2" xfId="2494"/>
    <cellStyle name="Normal 3 3 6 3" xfId="2495"/>
    <cellStyle name="Normal 3 3 6 4" xfId="2496"/>
    <cellStyle name="Normal 3 3 7" xfId="2497"/>
    <cellStyle name="Normal 3 3 7 2" xfId="2498"/>
    <cellStyle name="Normal 3 3 7 3" xfId="2499"/>
    <cellStyle name="Normal 3 3 7 4" xfId="2500"/>
    <cellStyle name="Normal 3 3 8" xfId="2501"/>
    <cellStyle name="Normal 3 3 8 2" xfId="2502"/>
    <cellStyle name="Normal 3 3 8 3" xfId="2503"/>
    <cellStyle name="Normal 3 3 8 4" xfId="2504"/>
    <cellStyle name="Normal 3 3 9" xfId="2505"/>
    <cellStyle name="Normal 3 3_DISTRIBUTION INPUT" xfId="2506"/>
    <cellStyle name="Normal 3 30" xfId="2507"/>
    <cellStyle name="Normal 3 31" xfId="2508"/>
    <cellStyle name="Normal 3 32" xfId="2509"/>
    <cellStyle name="Normal 3 33" xfId="2510"/>
    <cellStyle name="Normal 3 34" xfId="2511"/>
    <cellStyle name="Normal 3 35" xfId="2512"/>
    <cellStyle name="Normal 3 36" xfId="2513"/>
    <cellStyle name="Normal 3 37" xfId="2514"/>
    <cellStyle name="Normal 3 38" xfId="2515"/>
    <cellStyle name="Normal 3 39" xfId="2516"/>
    <cellStyle name="Normal 3 4" xfId="2517"/>
    <cellStyle name="Normal 3 4 2" xfId="2518"/>
    <cellStyle name="Normal 3 4 2 2" xfId="2519"/>
    <cellStyle name="Normal 3 4 2 3" xfId="2520"/>
    <cellStyle name="Normal 3 4 2 4" xfId="2521"/>
    <cellStyle name="Normal 3 4 3" xfId="2522"/>
    <cellStyle name="Normal 3 4 3 2" xfId="2523"/>
    <cellStyle name="Normal 3 4 3 3" xfId="2524"/>
    <cellStyle name="Normal 3 4 3 4" xfId="2525"/>
    <cellStyle name="Normal 3 4 4" xfId="2526"/>
    <cellStyle name="Normal 3 4 4 2" xfId="2527"/>
    <cellStyle name="Normal 3 4 4 3" xfId="2528"/>
    <cellStyle name="Normal 3 4 4 4" xfId="2529"/>
    <cellStyle name="Normal 3 4 5" xfId="2530"/>
    <cellStyle name="Normal 3 4 5 2" xfId="2531"/>
    <cellStyle name="Normal 3 4 5 3" xfId="2532"/>
    <cellStyle name="Normal 3 4 5 4" xfId="2533"/>
    <cellStyle name="Normal 3 4 6" xfId="2534"/>
    <cellStyle name="Normal 3 4 6 2" xfId="2535"/>
    <cellStyle name="Normal 3 4 6 3" xfId="2536"/>
    <cellStyle name="Normal 3 4 6 4" xfId="2537"/>
    <cellStyle name="Normal 3 4 7" xfId="2538"/>
    <cellStyle name="Normal 3 4 7 2" xfId="2539"/>
    <cellStyle name="Normal 3 4 7 3" xfId="2540"/>
    <cellStyle name="Normal 3 4 7 4" xfId="2541"/>
    <cellStyle name="Normal 3 4 8" xfId="2542"/>
    <cellStyle name="Normal 3 4 8 2" xfId="2543"/>
    <cellStyle name="Normal 3 4 8 3" xfId="2544"/>
    <cellStyle name="Normal 3 4 8 4" xfId="2545"/>
    <cellStyle name="Normal 3 4 9" xfId="2546"/>
    <cellStyle name="Normal 3 4_DISTRIBUTION INPUT" xfId="2547"/>
    <cellStyle name="Normal 3 40" xfId="2548"/>
    <cellStyle name="Normal 3 41" xfId="2549"/>
    <cellStyle name="Normal 3 5" xfId="2550"/>
    <cellStyle name="Normal 3 5 2" xfId="2551"/>
    <cellStyle name="Normal 3 5 2 2" xfId="2552"/>
    <cellStyle name="Normal 3 5 2 3" xfId="2553"/>
    <cellStyle name="Normal 3 5 2 4" xfId="2554"/>
    <cellStyle name="Normal 3 5 3" xfId="2555"/>
    <cellStyle name="Normal 3 5 3 2" xfId="2556"/>
    <cellStyle name="Normal 3 5 3 3" xfId="2557"/>
    <cellStyle name="Normal 3 5 3 4" xfId="2558"/>
    <cellStyle name="Normal 3 5 4" xfId="2559"/>
    <cellStyle name="Normal 3 5 4 2" xfId="2560"/>
    <cellStyle name="Normal 3 5 4 3" xfId="2561"/>
    <cellStyle name="Normal 3 5 4 4" xfId="2562"/>
    <cellStyle name="Normal 3 5 5" xfId="2563"/>
    <cellStyle name="Normal 3 5 5 2" xfId="2564"/>
    <cellStyle name="Normal 3 5 5 3" xfId="2565"/>
    <cellStyle name="Normal 3 5 5 4" xfId="2566"/>
    <cellStyle name="Normal 3 5 6" xfId="2567"/>
    <cellStyle name="Normal 3 5 6 2" xfId="2568"/>
    <cellStyle name="Normal 3 5 6 3" xfId="2569"/>
    <cellStyle name="Normal 3 5 6 4" xfId="2570"/>
    <cellStyle name="Normal 3 5 7" xfId="2571"/>
    <cellStyle name="Normal 3 5 7 2" xfId="2572"/>
    <cellStyle name="Normal 3 5 7 3" xfId="2573"/>
    <cellStyle name="Normal 3 5 7 4" xfId="2574"/>
    <cellStyle name="Normal 3 5 8" xfId="2575"/>
    <cellStyle name="Normal 3 5 8 2" xfId="2576"/>
    <cellStyle name="Normal 3 5 8 3" xfId="2577"/>
    <cellStyle name="Normal 3 5 8 4" xfId="2578"/>
    <cellStyle name="Normal 3 5 9" xfId="2579"/>
    <cellStyle name="Normal 3 5_DISTRIBUTION INPUT" xfId="2580"/>
    <cellStyle name="Normal 3 6" xfId="2581"/>
    <cellStyle name="Normal 3 6 2" xfId="2582"/>
    <cellStyle name="Normal 3 6 2 2" xfId="2583"/>
    <cellStyle name="Normal 3 6 2 3" xfId="2584"/>
    <cellStyle name="Normal 3 6 2 4" xfId="2585"/>
    <cellStyle name="Normal 3 6 3" xfId="2586"/>
    <cellStyle name="Normal 3 6 3 2" xfId="2587"/>
    <cellStyle name="Normal 3 6 3 3" xfId="2588"/>
    <cellStyle name="Normal 3 6 3 4" xfId="2589"/>
    <cellStyle name="Normal 3 6 4" xfId="2590"/>
    <cellStyle name="Normal 3 6 4 2" xfId="2591"/>
    <cellStyle name="Normal 3 6 4 3" xfId="2592"/>
    <cellStyle name="Normal 3 6 4 4" xfId="2593"/>
    <cellStyle name="Normal 3 6 5" xfId="2594"/>
    <cellStyle name="Normal 3 6 5 2" xfId="2595"/>
    <cellStyle name="Normal 3 6 5 3" xfId="2596"/>
    <cellStyle name="Normal 3 6 5 4" xfId="2597"/>
    <cellStyle name="Normal 3 6 6" xfId="2598"/>
    <cellStyle name="Normal 3 6 6 2" xfId="2599"/>
    <cellStyle name="Normal 3 6 6 3" xfId="2600"/>
    <cellStyle name="Normal 3 6 6 4" xfId="2601"/>
    <cellStyle name="Normal 3 6 7" xfId="2602"/>
    <cellStyle name="Normal 3 6 7 2" xfId="2603"/>
    <cellStyle name="Normal 3 6 7 3" xfId="2604"/>
    <cellStyle name="Normal 3 6 7 4" xfId="2605"/>
    <cellStyle name="Normal 3 6 8" xfId="2606"/>
    <cellStyle name="Normal 3 6 8 2" xfId="2607"/>
    <cellStyle name="Normal 3 6 8 3" xfId="2608"/>
    <cellStyle name="Normal 3 6 8 4" xfId="2609"/>
    <cellStyle name="Normal 3 6 9" xfId="2610"/>
    <cellStyle name="Normal 3 6_DISTRIBUTION INPUT" xfId="2611"/>
    <cellStyle name="Normal 3 7" xfId="2612"/>
    <cellStyle name="Normal 3 7 2" xfId="2613"/>
    <cellStyle name="Normal 3 7 2 2" xfId="2614"/>
    <cellStyle name="Normal 3 7 2 3" xfId="2615"/>
    <cellStyle name="Normal 3 7 2 4" xfId="2616"/>
    <cellStyle name="Normal 3 7 3" xfId="2617"/>
    <cellStyle name="Normal 3 7 3 2" xfId="2618"/>
    <cellStyle name="Normal 3 7 3 3" xfId="2619"/>
    <cellStyle name="Normal 3 7 3 4" xfId="2620"/>
    <cellStyle name="Normal 3 7 4" xfId="2621"/>
    <cellStyle name="Normal 3 7 4 2" xfId="2622"/>
    <cellStyle name="Normal 3 7 4 3" xfId="2623"/>
    <cellStyle name="Normal 3 7 4 4" xfId="2624"/>
    <cellStyle name="Normal 3 7 5" xfId="2625"/>
    <cellStyle name="Normal 3 7 5 2" xfId="2626"/>
    <cellStyle name="Normal 3 7 5 3" xfId="2627"/>
    <cellStyle name="Normal 3 7 5 4" xfId="2628"/>
    <cellStyle name="Normal 3 7 6" xfId="2629"/>
    <cellStyle name="Normal 3 7 6 2" xfId="2630"/>
    <cellStyle name="Normal 3 7 6 3" xfId="2631"/>
    <cellStyle name="Normal 3 7 6 4" xfId="2632"/>
    <cellStyle name="Normal 3 7 7" xfId="2633"/>
    <cellStyle name="Normal 3 7 7 2" xfId="2634"/>
    <cellStyle name="Normal 3 7 7 3" xfId="2635"/>
    <cellStyle name="Normal 3 7 7 4" xfId="2636"/>
    <cellStyle name="Normal 3 7 8" xfId="2637"/>
    <cellStyle name="Normal 3 7 8 2" xfId="2638"/>
    <cellStyle name="Normal 3 7 8 3" xfId="2639"/>
    <cellStyle name="Normal 3 7 8 4" xfId="2640"/>
    <cellStyle name="Normal 3 7 9" xfId="2641"/>
    <cellStyle name="Normal 3 7_DISTRIBUTION INPUT" xfId="2642"/>
    <cellStyle name="Normal 3 8" xfId="2643"/>
    <cellStyle name="Normal 3 8 2" xfId="2644"/>
    <cellStyle name="Normal 3 8 2 2" xfId="2645"/>
    <cellStyle name="Normal 3 8 2 3" xfId="2646"/>
    <cellStyle name="Normal 3 8 2 4" xfId="2647"/>
    <cellStyle name="Normal 3 8 3" xfId="2648"/>
    <cellStyle name="Normal 3 8 3 2" xfId="2649"/>
    <cellStyle name="Normal 3 8 3 3" xfId="2650"/>
    <cellStyle name="Normal 3 8 3 4" xfId="2651"/>
    <cellStyle name="Normal 3 8 4" xfId="2652"/>
    <cellStyle name="Normal 3 8 4 2" xfId="2653"/>
    <cellStyle name="Normal 3 8 4 3" xfId="2654"/>
    <cellStyle name="Normal 3 8 4 4" xfId="2655"/>
    <cellStyle name="Normal 3 8 5" xfId="2656"/>
    <cellStyle name="Normal 3 8 5 2" xfId="2657"/>
    <cellStyle name="Normal 3 8 5 3" xfId="2658"/>
    <cellStyle name="Normal 3 8 5 4" xfId="2659"/>
    <cellStyle name="Normal 3 8 6" xfId="2660"/>
    <cellStyle name="Normal 3 8 6 2" xfId="2661"/>
    <cellStyle name="Normal 3 8 6 3" xfId="2662"/>
    <cellStyle name="Normal 3 8 6 4" xfId="2663"/>
    <cellStyle name="Normal 3 8 7" xfId="2664"/>
    <cellStyle name="Normal 3 8 7 2" xfId="2665"/>
    <cellStyle name="Normal 3 8 7 3" xfId="2666"/>
    <cellStyle name="Normal 3 8 7 4" xfId="2667"/>
    <cellStyle name="Normal 3 8 8" xfId="2668"/>
    <cellStyle name="Normal 3 8 8 2" xfId="2669"/>
    <cellStyle name="Normal 3 8 8 3" xfId="2670"/>
    <cellStyle name="Normal 3 8 8 4" xfId="2671"/>
    <cellStyle name="Normal 3 8 9" xfId="2672"/>
    <cellStyle name="Normal 3 8_DISTRIBUTION INPUT" xfId="2673"/>
    <cellStyle name="Normal 3 9" xfId="2674"/>
    <cellStyle name="Normal 3 9 2" xfId="2675"/>
    <cellStyle name="Normal 3 9 2 2" xfId="2676"/>
    <cellStyle name="Normal 3 9 2 3" xfId="2677"/>
    <cellStyle name="Normal 3 9 2 4" xfId="2678"/>
    <cellStyle name="Normal 3 9 3" xfId="2679"/>
    <cellStyle name="Normal 3 9 3 2" xfId="2680"/>
    <cellStyle name="Normal 3 9 3 3" xfId="2681"/>
    <cellStyle name="Normal 3 9 3 4" xfId="2682"/>
    <cellStyle name="Normal 3 9 4" xfId="2683"/>
    <cellStyle name="Normal 3 9 4 2" xfId="2684"/>
    <cellStyle name="Normal 3 9 4 3" xfId="2685"/>
    <cellStyle name="Normal 3 9 4 4" xfId="2686"/>
    <cellStyle name="Normal 3 9 5" xfId="2687"/>
    <cellStyle name="Normal 3 9 5 2" xfId="2688"/>
    <cellStyle name="Normal 3 9 5 3" xfId="2689"/>
    <cellStyle name="Normal 3 9 5 4" xfId="2690"/>
    <cellStyle name="Normal 3 9 6" xfId="2691"/>
    <cellStyle name="Normal 3 9 6 2" xfId="2692"/>
    <cellStyle name="Normal 3 9 6 3" xfId="2693"/>
    <cellStyle name="Normal 3 9 6 4" xfId="2694"/>
    <cellStyle name="Normal 3 9 7" xfId="2695"/>
    <cellStyle name="Normal 3 9 7 2" xfId="2696"/>
    <cellStyle name="Normal 3 9 7 3" xfId="2697"/>
    <cellStyle name="Normal 3 9 7 4" xfId="2698"/>
    <cellStyle name="Normal 3 9 8" xfId="2699"/>
    <cellStyle name="Normal 3 9 8 2" xfId="2700"/>
    <cellStyle name="Normal 3 9 8 3" xfId="2701"/>
    <cellStyle name="Normal 3 9 8 4" xfId="2702"/>
    <cellStyle name="Normal 3 9 9" xfId="2703"/>
    <cellStyle name="Normal 3 9_DISTRIBUTION INPUT" xfId="2704"/>
    <cellStyle name="Normal 3_Damage" xfId="2705"/>
    <cellStyle name="Normal 30" xfId="2706"/>
    <cellStyle name="Normal 31" xfId="2707"/>
    <cellStyle name="Normal 32" xfId="7"/>
    <cellStyle name="Normal 32 10" xfId="2708"/>
    <cellStyle name="Normal 32 11" xfId="2709"/>
    <cellStyle name="Normal 32 12" xfId="2710"/>
    <cellStyle name="Normal 32 13" xfId="2711"/>
    <cellStyle name="Normal 32 14" xfId="2712"/>
    <cellStyle name="Normal 32 14 2" xfId="2713"/>
    <cellStyle name="Normal 32 14 3" xfId="2714"/>
    <cellStyle name="Normal 32 14 4" xfId="2715"/>
    <cellStyle name="Normal 32 15" xfId="2716"/>
    <cellStyle name="Normal 32 15 2" xfId="2717"/>
    <cellStyle name="Normal 32 15 3" xfId="2718"/>
    <cellStyle name="Normal 32 15 4" xfId="2719"/>
    <cellStyle name="Normal 32 16" xfId="2720"/>
    <cellStyle name="Normal 32 16 2" xfId="2721"/>
    <cellStyle name="Normal 32 16 3" xfId="2722"/>
    <cellStyle name="Normal 32 16 4" xfId="2723"/>
    <cellStyle name="Normal 32 17" xfId="2724"/>
    <cellStyle name="Normal 32 17 2" xfId="2725"/>
    <cellStyle name="Normal 32 17 3" xfId="2726"/>
    <cellStyle name="Normal 32 17 4" xfId="2727"/>
    <cellStyle name="Normal 32 18" xfId="2728"/>
    <cellStyle name="Normal 32 18 2" xfId="2729"/>
    <cellStyle name="Normal 32 18 3" xfId="2730"/>
    <cellStyle name="Normal 32 18 4" xfId="2731"/>
    <cellStyle name="Normal 32 19" xfId="2732"/>
    <cellStyle name="Normal 32 19 2" xfId="2733"/>
    <cellStyle name="Normal 32 19 3" xfId="2734"/>
    <cellStyle name="Normal 32 19 4" xfId="2735"/>
    <cellStyle name="Normal 32 2" xfId="2736"/>
    <cellStyle name="Normal 32 20" xfId="2737"/>
    <cellStyle name="Normal 32 20 2" xfId="2738"/>
    <cellStyle name="Normal 32 20 3" xfId="2739"/>
    <cellStyle name="Normal 32 20 4" xfId="2740"/>
    <cellStyle name="Normal 32 21" xfId="2741"/>
    <cellStyle name="Normal 32 21 2" xfId="2742"/>
    <cellStyle name="Normal 32 21 3" xfId="2743"/>
    <cellStyle name="Normal 32 21 4" xfId="2744"/>
    <cellStyle name="Normal 32 22" xfId="2745"/>
    <cellStyle name="Normal 32 22 2" xfId="2746"/>
    <cellStyle name="Normal 32 22 3" xfId="2747"/>
    <cellStyle name="Normal 32 22 4" xfId="2748"/>
    <cellStyle name="Normal 32 23" xfId="2749"/>
    <cellStyle name="Normal 32 23 2" xfId="2750"/>
    <cellStyle name="Normal 32 23 3" xfId="2751"/>
    <cellStyle name="Normal 32 23 4" xfId="2752"/>
    <cellStyle name="Normal 32 24" xfId="2753"/>
    <cellStyle name="Normal 32 24 2" xfId="2754"/>
    <cellStyle name="Normal 32 24 3" xfId="2755"/>
    <cellStyle name="Normal 32 24 4" xfId="2756"/>
    <cellStyle name="Normal 32 25" xfId="2757"/>
    <cellStyle name="Normal 32 25 2" xfId="2758"/>
    <cellStyle name="Normal 32 25 3" xfId="2759"/>
    <cellStyle name="Normal 32 25 4" xfId="2760"/>
    <cellStyle name="Normal 32 26" xfId="2761"/>
    <cellStyle name="Normal 32 26 2" xfId="2762"/>
    <cellStyle name="Normal 32 26 3" xfId="2763"/>
    <cellStyle name="Normal 32 26 4" xfId="2764"/>
    <cellStyle name="Normal 32 27" xfId="2765"/>
    <cellStyle name="Normal 32 27 2" xfId="2766"/>
    <cellStyle name="Normal 32 27 3" xfId="2767"/>
    <cellStyle name="Normal 32 27 4" xfId="2768"/>
    <cellStyle name="Normal 32 28" xfId="2769"/>
    <cellStyle name="Normal 32 28 2" xfId="2770"/>
    <cellStyle name="Normal 32 28 3" xfId="2771"/>
    <cellStyle name="Normal 32 28 4" xfId="2772"/>
    <cellStyle name="Normal 32 29" xfId="2773"/>
    <cellStyle name="Normal 32 29 2" xfId="2774"/>
    <cellStyle name="Normal 32 29 3" xfId="2775"/>
    <cellStyle name="Normal 32 29 4" xfId="2776"/>
    <cellStyle name="Normal 32 3" xfId="2777"/>
    <cellStyle name="Normal 32 30" xfId="2778"/>
    <cellStyle name="Normal 32 30 2" xfId="2779"/>
    <cellStyle name="Normal 32 30 3" xfId="2780"/>
    <cellStyle name="Normal 32 30 4" xfId="2781"/>
    <cellStyle name="Normal 32 31" xfId="2782"/>
    <cellStyle name="Normal 32 31 2" xfId="2783"/>
    <cellStyle name="Normal 32 31 3" xfId="2784"/>
    <cellStyle name="Normal 32 31 4" xfId="2785"/>
    <cellStyle name="Normal 32 32" xfId="2786"/>
    <cellStyle name="Normal 32 32 2" xfId="2787"/>
    <cellStyle name="Normal 32 32 3" xfId="2788"/>
    <cellStyle name="Normal 32 32 4" xfId="2789"/>
    <cellStyle name="Normal 32 33" xfId="2790"/>
    <cellStyle name="Normal 32 33 2" xfId="2791"/>
    <cellStyle name="Normal 32 33 3" xfId="2792"/>
    <cellStyle name="Normal 32 33 4" xfId="2793"/>
    <cellStyle name="Normal 32 34" xfId="2794"/>
    <cellStyle name="Normal 32 34 2" xfId="2795"/>
    <cellStyle name="Normal 32 34 3" xfId="2796"/>
    <cellStyle name="Normal 32 34 4" xfId="2797"/>
    <cellStyle name="Normal 32 35" xfId="2798"/>
    <cellStyle name="Normal 32 35 2" xfId="2799"/>
    <cellStyle name="Normal 32 35 3" xfId="2800"/>
    <cellStyle name="Normal 32 35 4" xfId="2801"/>
    <cellStyle name="Normal 32 36" xfId="2802"/>
    <cellStyle name="Normal 32 36 2" xfId="2803"/>
    <cellStyle name="Normal 32 36 3" xfId="2804"/>
    <cellStyle name="Normal 32 36 4" xfId="2805"/>
    <cellStyle name="Normal 32 37" xfId="2806"/>
    <cellStyle name="Normal 32 38" xfId="2807"/>
    <cellStyle name="Normal 32 39" xfId="2808"/>
    <cellStyle name="Normal 32 4" xfId="2809"/>
    <cellStyle name="Normal 32 40" xfId="2810"/>
    <cellStyle name="Normal 32 41" xfId="2811"/>
    <cellStyle name="Normal 32 42" xfId="2812"/>
    <cellStyle name="Normal 32 43" xfId="2813"/>
    <cellStyle name="Normal 32 44" xfId="2814"/>
    <cellStyle name="Normal 32 45" xfId="2815"/>
    <cellStyle name="Normal 32 46" xfId="2816"/>
    <cellStyle name="Normal 32 47" xfId="2817"/>
    <cellStyle name="Normal 32 48" xfId="2818"/>
    <cellStyle name="Normal 32 49" xfId="2819"/>
    <cellStyle name="Normal 32 5" xfId="2820"/>
    <cellStyle name="Normal 32 50" xfId="2821"/>
    <cellStyle name="Normal 32 51" xfId="2822"/>
    <cellStyle name="Normal 32 52" xfId="2823"/>
    <cellStyle name="Normal 32 53" xfId="2824"/>
    <cellStyle name="Normal 32 54" xfId="2825"/>
    <cellStyle name="Normal 32 6" xfId="2826"/>
    <cellStyle name="Normal 32 7" xfId="2827"/>
    <cellStyle name="Normal 32 8" xfId="2828"/>
    <cellStyle name="Normal 32 9" xfId="2829"/>
    <cellStyle name="Normal 32_Damage" xfId="2830"/>
    <cellStyle name="Normal 33" xfId="2831"/>
    <cellStyle name="Normal 34" xfId="2832"/>
    <cellStyle name="Normal 35" xfId="2833"/>
    <cellStyle name="Normal 36" xfId="2834"/>
    <cellStyle name="Normal 37" xfId="2835"/>
    <cellStyle name="Normal 38" xfId="2836"/>
    <cellStyle name="Normal 39" xfId="2837"/>
    <cellStyle name="Normal 4" xfId="2838"/>
    <cellStyle name="Normal 4 10" xfId="2839"/>
    <cellStyle name="Normal 4 10 2" xfId="2840"/>
    <cellStyle name="Normal 4 10 3" xfId="2841"/>
    <cellStyle name="Normal 4 10 4" xfId="2842"/>
    <cellStyle name="Normal 4 11" xfId="2843"/>
    <cellStyle name="Normal 4 11 2" xfId="2844"/>
    <cellStyle name="Normal 4 11 3" xfId="2845"/>
    <cellStyle name="Normal 4 11 4" xfId="2846"/>
    <cellStyle name="Normal 4 12" xfId="2847"/>
    <cellStyle name="Normal 4 12 2" xfId="2848"/>
    <cellStyle name="Normal 4 12 3" xfId="2849"/>
    <cellStyle name="Normal 4 12 4" xfId="2850"/>
    <cellStyle name="Normal 4 13" xfId="2851"/>
    <cellStyle name="Normal 4 13 2" xfId="2852"/>
    <cellStyle name="Normal 4 13 3" xfId="2853"/>
    <cellStyle name="Normal 4 13 4" xfId="2854"/>
    <cellStyle name="Normal 4 14" xfId="2855"/>
    <cellStyle name="Normal 4 14 2" xfId="2856"/>
    <cellStyle name="Normal 4 14 3" xfId="2857"/>
    <cellStyle name="Normal 4 14 4" xfId="2858"/>
    <cellStyle name="Normal 4 15" xfId="2859"/>
    <cellStyle name="Normal 4 15 2" xfId="2860"/>
    <cellStyle name="Normal 4 15 3" xfId="2861"/>
    <cellStyle name="Normal 4 15 4" xfId="2862"/>
    <cellStyle name="Normal 4 2" xfId="2863"/>
    <cellStyle name="Normal 4 2 10" xfId="2864"/>
    <cellStyle name="Normal 4 2 11" xfId="2865"/>
    <cellStyle name="Normal 4 2 12" xfId="2866"/>
    <cellStyle name="Normal 4 2 13" xfId="2867"/>
    <cellStyle name="Normal 4 2 14" xfId="2868"/>
    <cellStyle name="Normal 4 2 15" xfId="2869"/>
    <cellStyle name="Normal 4 2 16" xfId="2870"/>
    <cellStyle name="Normal 4 2 17" xfId="2871"/>
    <cellStyle name="Normal 4 2 18" xfId="2872"/>
    <cellStyle name="Normal 4 2 19" xfId="2873"/>
    <cellStyle name="Normal 4 2 2" xfId="2874"/>
    <cellStyle name="Normal 4 2 20" xfId="2875"/>
    <cellStyle name="Normal 4 2 21" xfId="2876"/>
    <cellStyle name="Normal 4 2 22" xfId="2877"/>
    <cellStyle name="Normal 4 2 23" xfId="2878"/>
    <cellStyle name="Normal 4 2 24" xfId="2879"/>
    <cellStyle name="Normal 4 2 25" xfId="2880"/>
    <cellStyle name="Normal 4 2 26" xfId="2881"/>
    <cellStyle name="Normal 4 2 3" xfId="2882"/>
    <cellStyle name="Normal 4 2 4" xfId="2883"/>
    <cellStyle name="Normal 4 2 5" xfId="2884"/>
    <cellStyle name="Normal 4 2 6" xfId="2885"/>
    <cellStyle name="Normal 4 2 7" xfId="2886"/>
    <cellStyle name="Normal 4 2 8" xfId="2887"/>
    <cellStyle name="Normal 4 2 9" xfId="2888"/>
    <cellStyle name="Normal 4 2_DISTRIBUTION INPUT" xfId="2889"/>
    <cellStyle name="Normal 4 3" xfId="2890"/>
    <cellStyle name="Normal 4 3 10" xfId="2891"/>
    <cellStyle name="Normal 4 3 11" xfId="2892"/>
    <cellStyle name="Normal 4 3 12" xfId="2893"/>
    <cellStyle name="Normal 4 3 13" xfId="2894"/>
    <cellStyle name="Normal 4 3 14" xfId="2895"/>
    <cellStyle name="Normal 4 3 15" xfId="2896"/>
    <cellStyle name="Normal 4 3 16" xfId="2897"/>
    <cellStyle name="Normal 4 3 17" xfId="2898"/>
    <cellStyle name="Normal 4 3 18" xfId="2899"/>
    <cellStyle name="Normal 4 3 19" xfId="2900"/>
    <cellStyle name="Normal 4 3 2" xfId="2901"/>
    <cellStyle name="Normal 4 3 20" xfId="2902"/>
    <cellStyle name="Normal 4 3 21" xfId="2903"/>
    <cellStyle name="Normal 4 3 22" xfId="2904"/>
    <cellStyle name="Normal 4 3 23" xfId="2905"/>
    <cellStyle name="Normal 4 3 24" xfId="2906"/>
    <cellStyle name="Normal 4 3 25" xfId="2907"/>
    <cellStyle name="Normal 4 3 26" xfId="2908"/>
    <cellStyle name="Normal 4 3 3" xfId="2909"/>
    <cellStyle name="Normal 4 3 4" xfId="2910"/>
    <cellStyle name="Normal 4 3 5" xfId="2911"/>
    <cellStyle name="Normal 4 3 6" xfId="2912"/>
    <cellStyle name="Normal 4 3 7" xfId="2913"/>
    <cellStyle name="Normal 4 3 8" xfId="2914"/>
    <cellStyle name="Normal 4 3 9" xfId="2915"/>
    <cellStyle name="Normal 4 3_DISTRIBUTION INPUT" xfId="2916"/>
    <cellStyle name="Normal 4 4" xfId="2917"/>
    <cellStyle name="Normal 4 4 10" xfId="2918"/>
    <cellStyle name="Normal 4 4 11" xfId="2919"/>
    <cellStyle name="Normal 4 4 12" xfId="2920"/>
    <cellStyle name="Normal 4 4 13" xfId="2921"/>
    <cellStyle name="Normal 4 4 14" xfId="2922"/>
    <cellStyle name="Normal 4 4 15" xfId="2923"/>
    <cellStyle name="Normal 4 4 16" xfId="2924"/>
    <cellStyle name="Normal 4 4 17" xfId="2925"/>
    <cellStyle name="Normal 4 4 18" xfId="2926"/>
    <cellStyle name="Normal 4 4 19" xfId="2927"/>
    <cellStyle name="Normal 4 4 2" xfId="2928"/>
    <cellStyle name="Normal 4 4 20" xfId="2929"/>
    <cellStyle name="Normal 4 4 21" xfId="2930"/>
    <cellStyle name="Normal 4 4 22" xfId="2931"/>
    <cellStyle name="Normal 4 4 23" xfId="2932"/>
    <cellStyle name="Normal 4 4 24" xfId="2933"/>
    <cellStyle name="Normal 4 4 25" xfId="2934"/>
    <cellStyle name="Normal 4 4 26" xfId="2935"/>
    <cellStyle name="Normal 4 4 3" xfId="2936"/>
    <cellStyle name="Normal 4 4 4" xfId="2937"/>
    <cellStyle name="Normal 4 4 5" xfId="2938"/>
    <cellStyle name="Normal 4 4 6" xfId="2939"/>
    <cellStyle name="Normal 4 4 7" xfId="2940"/>
    <cellStyle name="Normal 4 4 8" xfId="2941"/>
    <cellStyle name="Normal 4 4 9" xfId="2942"/>
    <cellStyle name="Normal 4 4_DISTRIBUTION INPUT" xfId="2943"/>
    <cellStyle name="Normal 4 5" xfId="2944"/>
    <cellStyle name="Normal 4 5 10" xfId="2945"/>
    <cellStyle name="Normal 4 5 11" xfId="2946"/>
    <cellStyle name="Normal 4 5 12" xfId="2947"/>
    <cellStyle name="Normal 4 5 13" xfId="2948"/>
    <cellStyle name="Normal 4 5 14" xfId="2949"/>
    <cellStyle name="Normal 4 5 15" xfId="2950"/>
    <cellStyle name="Normal 4 5 16" xfId="2951"/>
    <cellStyle name="Normal 4 5 17" xfId="2952"/>
    <cellStyle name="Normal 4 5 18" xfId="2953"/>
    <cellStyle name="Normal 4 5 19" xfId="2954"/>
    <cellStyle name="Normal 4 5 2" xfId="2955"/>
    <cellStyle name="Normal 4 5 20" xfId="2956"/>
    <cellStyle name="Normal 4 5 21" xfId="2957"/>
    <cellStyle name="Normal 4 5 22" xfId="2958"/>
    <cellStyle name="Normal 4 5 23" xfId="2959"/>
    <cellStyle name="Normal 4 5 24" xfId="2960"/>
    <cellStyle name="Normal 4 5 25" xfId="2961"/>
    <cellStyle name="Normal 4 5 26" xfId="2962"/>
    <cellStyle name="Normal 4 5 3" xfId="2963"/>
    <cellStyle name="Normal 4 5 4" xfId="2964"/>
    <cellStyle name="Normal 4 5 5" xfId="2965"/>
    <cellStyle name="Normal 4 5 6" xfId="2966"/>
    <cellStyle name="Normal 4 5 7" xfId="2967"/>
    <cellStyle name="Normal 4 5 8" xfId="2968"/>
    <cellStyle name="Normal 4 5 9" xfId="2969"/>
    <cellStyle name="Normal 4 5_DISTRIBUTION INPUT" xfId="2970"/>
    <cellStyle name="Normal 4 6" xfId="2971"/>
    <cellStyle name="Normal 4 6 10" xfId="2972"/>
    <cellStyle name="Normal 4 6 11" xfId="2973"/>
    <cellStyle name="Normal 4 6 12" xfId="2974"/>
    <cellStyle name="Normal 4 6 13" xfId="2975"/>
    <cellStyle name="Normal 4 6 14" xfId="2976"/>
    <cellStyle name="Normal 4 6 15" xfId="2977"/>
    <cellStyle name="Normal 4 6 16" xfId="2978"/>
    <cellStyle name="Normal 4 6 17" xfId="2979"/>
    <cellStyle name="Normal 4 6 18" xfId="2980"/>
    <cellStyle name="Normal 4 6 19" xfId="2981"/>
    <cellStyle name="Normal 4 6 2" xfId="2982"/>
    <cellStyle name="Normal 4 6 20" xfId="2983"/>
    <cellStyle name="Normal 4 6 21" xfId="2984"/>
    <cellStyle name="Normal 4 6 22" xfId="2985"/>
    <cellStyle name="Normal 4 6 23" xfId="2986"/>
    <cellStyle name="Normal 4 6 24" xfId="2987"/>
    <cellStyle name="Normal 4 6 25" xfId="2988"/>
    <cellStyle name="Normal 4 6 26" xfId="2989"/>
    <cellStyle name="Normal 4 6 3" xfId="2990"/>
    <cellStyle name="Normal 4 6 4" xfId="2991"/>
    <cellStyle name="Normal 4 6 5" xfId="2992"/>
    <cellStyle name="Normal 4 6 6" xfId="2993"/>
    <cellStyle name="Normal 4 6 7" xfId="2994"/>
    <cellStyle name="Normal 4 6 8" xfId="2995"/>
    <cellStyle name="Normal 4 6 9" xfId="2996"/>
    <cellStyle name="Normal 4 6_DISTRIBUTION INPUT" xfId="2997"/>
    <cellStyle name="Normal 4 7" xfId="2998"/>
    <cellStyle name="Normal 4 7 10" xfId="2999"/>
    <cellStyle name="Normal 4 7 11" xfId="3000"/>
    <cellStyle name="Normal 4 7 12" xfId="3001"/>
    <cellStyle name="Normal 4 7 13" xfId="3002"/>
    <cellStyle name="Normal 4 7 14" xfId="3003"/>
    <cellStyle name="Normal 4 7 15" xfId="3004"/>
    <cellStyle name="Normal 4 7 16" xfId="3005"/>
    <cellStyle name="Normal 4 7 17" xfId="3006"/>
    <cellStyle name="Normal 4 7 18" xfId="3007"/>
    <cellStyle name="Normal 4 7 19" xfId="3008"/>
    <cellStyle name="Normal 4 7 2" xfId="3009"/>
    <cellStyle name="Normal 4 7 20" xfId="3010"/>
    <cellStyle name="Normal 4 7 21" xfId="3011"/>
    <cellStyle name="Normal 4 7 22" xfId="3012"/>
    <cellStyle name="Normal 4 7 23" xfId="3013"/>
    <cellStyle name="Normal 4 7 24" xfId="3014"/>
    <cellStyle name="Normal 4 7 25" xfId="3015"/>
    <cellStyle name="Normal 4 7 26" xfId="3016"/>
    <cellStyle name="Normal 4 7 3" xfId="3017"/>
    <cellStyle name="Normal 4 7 4" xfId="3018"/>
    <cellStyle name="Normal 4 7 5" xfId="3019"/>
    <cellStyle name="Normal 4 7 6" xfId="3020"/>
    <cellStyle name="Normal 4 7 7" xfId="3021"/>
    <cellStyle name="Normal 4 7 8" xfId="3022"/>
    <cellStyle name="Normal 4 7 9" xfId="3023"/>
    <cellStyle name="Normal 4 7_DISTRIBUTION INPUT" xfId="3024"/>
    <cellStyle name="Normal 4 8" xfId="3025"/>
    <cellStyle name="Normal 4 8 10" xfId="3026"/>
    <cellStyle name="Normal 4 8 11" xfId="3027"/>
    <cellStyle name="Normal 4 8 12" xfId="3028"/>
    <cellStyle name="Normal 4 8 13" xfId="3029"/>
    <cellStyle name="Normal 4 8 14" xfId="3030"/>
    <cellStyle name="Normal 4 8 15" xfId="3031"/>
    <cellStyle name="Normal 4 8 16" xfId="3032"/>
    <cellStyle name="Normal 4 8 17" xfId="3033"/>
    <cellStyle name="Normal 4 8 18" xfId="3034"/>
    <cellStyle name="Normal 4 8 19" xfId="3035"/>
    <cellStyle name="Normal 4 8 2" xfId="3036"/>
    <cellStyle name="Normal 4 8 20" xfId="3037"/>
    <cellStyle name="Normal 4 8 21" xfId="3038"/>
    <cellStyle name="Normal 4 8 22" xfId="3039"/>
    <cellStyle name="Normal 4 8 23" xfId="3040"/>
    <cellStyle name="Normal 4 8 24" xfId="3041"/>
    <cellStyle name="Normal 4 8 25" xfId="3042"/>
    <cellStyle name="Normal 4 8 26" xfId="3043"/>
    <cellStyle name="Normal 4 8 3" xfId="3044"/>
    <cellStyle name="Normal 4 8 4" xfId="3045"/>
    <cellStyle name="Normal 4 8 5" xfId="3046"/>
    <cellStyle name="Normal 4 8 6" xfId="3047"/>
    <cellStyle name="Normal 4 8 7" xfId="3048"/>
    <cellStyle name="Normal 4 8 8" xfId="3049"/>
    <cellStyle name="Normal 4 8 9" xfId="3050"/>
    <cellStyle name="Normal 4 8_DISTRIBUTION INPUT" xfId="3051"/>
    <cellStyle name="Normal 4 9" xfId="3052"/>
    <cellStyle name="Normal 4 9 10" xfId="3053"/>
    <cellStyle name="Normal 4 9 11" xfId="3054"/>
    <cellStyle name="Normal 4 9 12" xfId="3055"/>
    <cellStyle name="Normal 4 9 13" xfId="3056"/>
    <cellStyle name="Normal 4 9 14" xfId="3057"/>
    <cellStyle name="Normal 4 9 15" xfId="3058"/>
    <cellStyle name="Normal 4 9 16" xfId="3059"/>
    <cellStyle name="Normal 4 9 17" xfId="3060"/>
    <cellStyle name="Normal 4 9 18" xfId="3061"/>
    <cellStyle name="Normal 4 9 19" xfId="3062"/>
    <cellStyle name="Normal 4 9 2" xfId="3063"/>
    <cellStyle name="Normal 4 9 20" xfId="3064"/>
    <cellStyle name="Normal 4 9 21" xfId="3065"/>
    <cellStyle name="Normal 4 9 22" xfId="3066"/>
    <cellStyle name="Normal 4 9 23" xfId="3067"/>
    <cellStyle name="Normal 4 9 24" xfId="3068"/>
    <cellStyle name="Normal 4 9 25" xfId="3069"/>
    <cellStyle name="Normal 4 9 26" xfId="3070"/>
    <cellStyle name="Normal 4 9 3" xfId="3071"/>
    <cellStyle name="Normal 4 9 4" xfId="3072"/>
    <cellStyle name="Normal 4 9 5" xfId="3073"/>
    <cellStyle name="Normal 4 9 6" xfId="3074"/>
    <cellStyle name="Normal 4 9 7" xfId="3075"/>
    <cellStyle name="Normal 4 9 8" xfId="3076"/>
    <cellStyle name="Normal 4 9 9" xfId="3077"/>
    <cellStyle name="Normal 4 9_DISTRIBUTION INPUT" xfId="3078"/>
    <cellStyle name="Normal 4_DISTRIBUTION INPUT" xfId="3079"/>
    <cellStyle name="Normal 40" xfId="3080"/>
    <cellStyle name="Normal 41" xfId="3081"/>
    <cellStyle name="Normal 42" xfId="3082"/>
    <cellStyle name="Normal 43" xfId="3083"/>
    <cellStyle name="Normal 44" xfId="3084"/>
    <cellStyle name="Normal 45" xfId="3085"/>
    <cellStyle name="Normal 46" xfId="3086"/>
    <cellStyle name="Normal 47" xfId="3087"/>
    <cellStyle name="Normal 48" xfId="3088"/>
    <cellStyle name="Normal 49" xfId="3089"/>
    <cellStyle name="Normal 5" xfId="3090"/>
    <cellStyle name="Normal 50" xfId="3091"/>
    <cellStyle name="Normal 51" xfId="3092"/>
    <cellStyle name="Normal 52" xfId="3093"/>
    <cellStyle name="Normal 53" xfId="3094"/>
    <cellStyle name="Normal 54" xfId="3095"/>
    <cellStyle name="Normal 55" xfId="3096"/>
    <cellStyle name="Normal 56" xfId="3097"/>
    <cellStyle name="Normal 57" xfId="3098"/>
    <cellStyle name="Normal 58" xfId="3099"/>
    <cellStyle name="Normal 59" xfId="3100"/>
    <cellStyle name="Normal 6" xfId="3101"/>
    <cellStyle name="Normal 60" xfId="3102"/>
    <cellStyle name="Normal 61" xfId="3103"/>
    <cellStyle name="Normal 62" xfId="3104"/>
    <cellStyle name="Normal 63" xfId="3105"/>
    <cellStyle name="Normal 64" xfId="3106"/>
    <cellStyle name="Normal 65" xfId="3107"/>
    <cellStyle name="Normal 66" xfId="3108"/>
    <cellStyle name="Normal 67" xfId="3109"/>
    <cellStyle name="Normal 68" xfId="3110"/>
    <cellStyle name="Normal 69" xfId="3111"/>
    <cellStyle name="Normal 7" xfId="3112"/>
    <cellStyle name="Normal 70" xfId="3113"/>
    <cellStyle name="Normal 71" xfId="3114"/>
    <cellStyle name="Normal 72" xfId="3115"/>
    <cellStyle name="Normal 73" xfId="3116"/>
    <cellStyle name="Normal 74" xfId="3117"/>
    <cellStyle name="Normal 75" xfId="3118"/>
    <cellStyle name="Normal 76" xfId="3119"/>
    <cellStyle name="Normal 77" xfId="3120"/>
    <cellStyle name="Normal 78" xfId="3121"/>
    <cellStyle name="Normal 79" xfId="3122"/>
    <cellStyle name="Normal 8" xfId="3123"/>
    <cellStyle name="Normal 80" xfId="3124"/>
    <cellStyle name="Normal 81" xfId="3125"/>
    <cellStyle name="Normal 82" xfId="3126"/>
    <cellStyle name="Normal 83" xfId="3127"/>
    <cellStyle name="Normal 84" xfId="3128"/>
    <cellStyle name="Normal 85" xfId="3129"/>
    <cellStyle name="Normal 86" xfId="3130"/>
    <cellStyle name="Normal 87" xfId="3131"/>
    <cellStyle name="Normal 88" xfId="3132"/>
    <cellStyle name="Normal 89" xfId="3133"/>
    <cellStyle name="Normal 9" xfId="3134"/>
    <cellStyle name="Normal 90" xfId="3135"/>
    <cellStyle name="Normal 91" xfId="3136"/>
    <cellStyle name="Normal 92" xfId="3137"/>
    <cellStyle name="Normal 93" xfId="3138"/>
    <cellStyle name="Normal 94" xfId="3139"/>
    <cellStyle name="Normal 95" xfId="3140"/>
    <cellStyle name="Normal 96" xfId="3141"/>
    <cellStyle name="Normal 97" xfId="3142"/>
    <cellStyle name="Normal 98" xfId="3143"/>
    <cellStyle name="Normal 99" xfId="3144"/>
    <cellStyle name="Normal_T3.1 HHS Quartier (2)" xfId="3188"/>
    <cellStyle name="Percent 10" xfId="3145"/>
    <cellStyle name="Percent 11" xfId="3146"/>
    <cellStyle name="Percent 12" xfId="3147"/>
    <cellStyle name="Percent 13" xfId="3148"/>
    <cellStyle name="Percent 14" xfId="3149"/>
    <cellStyle name="Percent 15" xfId="3150"/>
    <cellStyle name="Percent 2" xfId="3151"/>
    <cellStyle name="Percent 2 2" xfId="3152"/>
    <cellStyle name="Percent 2 2 2" xfId="3153"/>
    <cellStyle name="Percent 2 2 3" xfId="3154"/>
    <cellStyle name="Percent 2 2 4" xfId="3155"/>
    <cellStyle name="Percent 2 3" xfId="3156"/>
    <cellStyle name="Percent 2 3 2" xfId="3157"/>
    <cellStyle name="Percent 2 3 3" xfId="3158"/>
    <cellStyle name="Percent 2 3 4" xfId="3159"/>
    <cellStyle name="Percent 2 4" xfId="3160"/>
    <cellStyle name="Percent 2 4 2" xfId="3161"/>
    <cellStyle name="Percent 2 4 3" xfId="3162"/>
    <cellStyle name="Percent 2 4 4" xfId="3163"/>
    <cellStyle name="Percent 2 5" xfId="3164"/>
    <cellStyle name="Percent 2 5 2" xfId="3165"/>
    <cellStyle name="Percent 2 5 3" xfId="3166"/>
    <cellStyle name="Percent 2 5 4" xfId="3167"/>
    <cellStyle name="Percent 2 6" xfId="3168"/>
    <cellStyle name="Percent 2 6 2" xfId="3169"/>
    <cellStyle name="Percent 2 6 3" xfId="3170"/>
    <cellStyle name="Percent 2 6 4" xfId="3171"/>
    <cellStyle name="Percent 2 7" xfId="3172"/>
    <cellStyle name="Percent 2 7 2" xfId="3173"/>
    <cellStyle name="Percent 2 7 3" xfId="3174"/>
    <cellStyle name="Percent 2 7 4" xfId="3175"/>
    <cellStyle name="Percent 2 8" xfId="3176"/>
    <cellStyle name="Percent 2 8 2" xfId="3177"/>
    <cellStyle name="Percent 2 8 3" xfId="3178"/>
    <cellStyle name="Percent 2 8 4" xfId="3179"/>
    <cellStyle name="Percent 2_DISTRIBUTION INPUT" xfId="3180"/>
    <cellStyle name="Percent 3" xfId="3181"/>
    <cellStyle name="Percent 4" xfId="3182"/>
    <cellStyle name="Percent 5" xfId="3183"/>
    <cellStyle name="Percent 6" xfId="3184"/>
    <cellStyle name="Percent 7" xfId="3185"/>
    <cellStyle name="Percent 8" xfId="3186"/>
    <cellStyle name="Percent 9" xfId="3187"/>
    <cellStyle name="Pourcentage" xfId="3189" builtinId="5"/>
  </cellStyles>
  <dxfs count="17"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u val="none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18" Type="http://schemas.openxmlformats.org/officeDocument/2006/relationships/pivotCacheDefinition" Target="pivotCache/pivotCacheDefinition4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pivotCacheDefinition" Target="pivotCache/pivotCacheDefinition3.xml"/><Relationship Id="rId25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2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1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3.xml"/><Relationship Id="rId22" Type="http://schemas.openxmlformats.org/officeDocument/2006/relationships/calcChain" Target="calcChain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BE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 sz="1400"/>
              <a:t>Quantités de NFI distribuées par agence  </a:t>
            </a:r>
          </a:p>
          <a:p>
            <a:pPr>
              <a:defRPr/>
            </a:pPr>
            <a:r>
              <a:rPr lang="fr-FR" sz="1200"/>
              <a:t>Dernière mise à jour le 30/01/2013     Période couverte par le rapport, du 07/04/212 au 30/01/2013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5449747482569021E-2"/>
          <c:y val="0"/>
          <c:w val="0.984550252517431"/>
          <c:h val="0.86719417322834702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'Analyse NFI-Agence'!$B$24:$C$24</c:f>
              <c:strCache>
                <c:ptCount val="1"/>
                <c:pt idx="0">
                  <c:v>Tentes </c:v>
                </c:pt>
              </c:strCache>
            </c:strRef>
          </c:tx>
          <c:invertIfNegative val="0"/>
          <c:cat>
            <c:strRef>
              <c:f>'Analyse NFI-Agence'!$A$26:$A$38</c:f>
              <c:strCache>
                <c:ptCount val="13"/>
                <c:pt idx="0">
                  <c:v>ACTED</c:v>
                </c:pt>
                <c:pt idx="1">
                  <c:v>ALIMA</c:v>
                </c:pt>
                <c:pt idx="2">
                  <c:v>AVSF</c:v>
                </c:pt>
                <c:pt idx="3">
                  <c:v>CARE</c:v>
                </c:pt>
                <c:pt idx="4">
                  <c:v>CRM</c:v>
                </c:pt>
                <c:pt idx="5">
                  <c:v>CRS</c:v>
                </c:pt>
                <c:pt idx="6">
                  <c:v>DGPC</c:v>
                </c:pt>
                <c:pt idx="7">
                  <c:v>IOM</c:v>
                </c:pt>
                <c:pt idx="8">
                  <c:v>IRC</c:v>
                </c:pt>
                <c:pt idx="9">
                  <c:v>MdM B</c:v>
                </c:pt>
                <c:pt idx="10">
                  <c:v>MdM F</c:v>
                </c:pt>
                <c:pt idx="11">
                  <c:v>UNHCR</c:v>
                </c:pt>
                <c:pt idx="12">
                  <c:v>USAID</c:v>
                </c:pt>
              </c:strCache>
            </c:strRef>
          </c:cat>
          <c:val>
            <c:numRef>
              <c:f>'Analyse NFI-Agence'!$B$26:$B$38</c:f>
              <c:numCache>
                <c:formatCode>_-* #,##0\ _€_-;\-* #,##0\ _€_-;_-* "-"??\ _€_-;_-@_-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17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</c:ser>
        <c:ser>
          <c:idx val="2"/>
          <c:order val="1"/>
          <c:tx>
            <c:strRef>
              <c:f>'Analyse NFI-Agence'!$D$24:$E$24</c:f>
              <c:strCache>
                <c:ptCount val="1"/>
                <c:pt idx="0">
                  <c:v>Matelas</c:v>
                </c:pt>
              </c:strCache>
            </c:strRef>
          </c:tx>
          <c:invertIfNegative val="0"/>
          <c:dLbls>
            <c:txPr>
              <a:bodyPr/>
              <a:lstStyle/>
              <a:p>
                <a:pPr>
                  <a:defRPr b="1"/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'Analyse NFI-Agence'!$A$26:$A$38</c:f>
              <c:strCache>
                <c:ptCount val="13"/>
                <c:pt idx="0">
                  <c:v>ACTED</c:v>
                </c:pt>
                <c:pt idx="1">
                  <c:v>ALIMA</c:v>
                </c:pt>
                <c:pt idx="2">
                  <c:v>AVSF</c:v>
                </c:pt>
                <c:pt idx="3">
                  <c:v>CARE</c:v>
                </c:pt>
                <c:pt idx="4">
                  <c:v>CRM</c:v>
                </c:pt>
                <c:pt idx="5">
                  <c:v>CRS</c:v>
                </c:pt>
                <c:pt idx="6">
                  <c:v>DGPC</c:v>
                </c:pt>
                <c:pt idx="7">
                  <c:v>IOM</c:v>
                </c:pt>
                <c:pt idx="8">
                  <c:v>IRC</c:v>
                </c:pt>
                <c:pt idx="9">
                  <c:v>MdM B</c:v>
                </c:pt>
                <c:pt idx="10">
                  <c:v>MdM F</c:v>
                </c:pt>
                <c:pt idx="11">
                  <c:v>UNHCR</c:v>
                </c:pt>
                <c:pt idx="12">
                  <c:v>USAID</c:v>
                </c:pt>
              </c:strCache>
            </c:strRef>
          </c:cat>
          <c:val>
            <c:numRef>
              <c:f>'Analyse NFI-Agence'!$D$26:$D$38</c:f>
              <c:numCache>
                <c:formatCode>_-* #,##0\ _€_-;\-* #,##0\ _€_-;_-* "-"??\ _€_-;_-@_-</c:formatCode>
                <c:ptCount val="13"/>
                <c:pt idx="0">
                  <c:v>700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50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</c:ser>
        <c:ser>
          <c:idx val="4"/>
          <c:order val="2"/>
          <c:tx>
            <c:strRef>
              <c:f>'Analyse NFI-Agence'!$F$24:$G$24</c:f>
              <c:strCache>
                <c:ptCount val="1"/>
                <c:pt idx="0">
                  <c:v>Baches 4m x 5m </c:v>
                </c:pt>
              </c:strCache>
            </c:strRef>
          </c:tx>
          <c:invertIfNegative val="0"/>
          <c:dLbls>
            <c:txPr>
              <a:bodyPr/>
              <a:lstStyle/>
              <a:p>
                <a:pPr>
                  <a:defRPr b="1"/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'Analyse NFI-Agence'!$A$26:$A$38</c:f>
              <c:strCache>
                <c:ptCount val="13"/>
                <c:pt idx="0">
                  <c:v>ACTED</c:v>
                </c:pt>
                <c:pt idx="1">
                  <c:v>ALIMA</c:v>
                </c:pt>
                <c:pt idx="2">
                  <c:v>AVSF</c:v>
                </c:pt>
                <c:pt idx="3">
                  <c:v>CARE</c:v>
                </c:pt>
                <c:pt idx="4">
                  <c:v>CRM</c:v>
                </c:pt>
                <c:pt idx="5">
                  <c:v>CRS</c:v>
                </c:pt>
                <c:pt idx="6">
                  <c:v>DGPC</c:v>
                </c:pt>
                <c:pt idx="7">
                  <c:v>IOM</c:v>
                </c:pt>
                <c:pt idx="8">
                  <c:v>IRC</c:v>
                </c:pt>
                <c:pt idx="9">
                  <c:v>MdM B</c:v>
                </c:pt>
                <c:pt idx="10">
                  <c:v>MdM F</c:v>
                </c:pt>
                <c:pt idx="11">
                  <c:v>UNHCR</c:v>
                </c:pt>
                <c:pt idx="12">
                  <c:v>USAID</c:v>
                </c:pt>
              </c:strCache>
            </c:strRef>
          </c:cat>
          <c:val>
            <c:numRef>
              <c:f>'Analyse NFI-Agence'!$F$26:$F$38</c:f>
              <c:numCache>
                <c:formatCode>_-* #,##0\ _€_-;\-* #,##0\ _€_-;_-* "-"??\ _€_-;_-@_-</c:formatCode>
                <c:ptCount val="13"/>
                <c:pt idx="0">
                  <c:v>597</c:v>
                </c:pt>
                <c:pt idx="1">
                  <c:v>300</c:v>
                </c:pt>
                <c:pt idx="2">
                  <c:v>800</c:v>
                </c:pt>
                <c:pt idx="3">
                  <c:v>1060</c:v>
                </c:pt>
                <c:pt idx="4">
                  <c:v>600</c:v>
                </c:pt>
                <c:pt idx="5">
                  <c:v>0</c:v>
                </c:pt>
                <c:pt idx="6">
                  <c:v>982</c:v>
                </c:pt>
                <c:pt idx="7">
                  <c:v>0</c:v>
                </c:pt>
                <c:pt idx="8">
                  <c:v>200</c:v>
                </c:pt>
                <c:pt idx="9">
                  <c:v>300</c:v>
                </c:pt>
                <c:pt idx="10">
                  <c:v>800</c:v>
                </c:pt>
                <c:pt idx="11">
                  <c:v>1709</c:v>
                </c:pt>
                <c:pt idx="12">
                  <c:v>0</c:v>
                </c:pt>
              </c:numCache>
            </c:numRef>
          </c:val>
        </c:ser>
        <c:ser>
          <c:idx val="6"/>
          <c:order val="3"/>
          <c:tx>
            <c:strRef>
              <c:f>'Analyse NFI-Agence'!$H$24:$I$24</c:f>
              <c:strCache>
                <c:ptCount val="1"/>
                <c:pt idx="0">
                  <c:v>Couvertures</c:v>
                </c:pt>
              </c:strCache>
            </c:strRef>
          </c:tx>
          <c:invertIfNegative val="0"/>
          <c:dLbls>
            <c:txPr>
              <a:bodyPr/>
              <a:lstStyle/>
              <a:p>
                <a:pPr>
                  <a:defRPr b="1"/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'Analyse NFI-Agence'!$A$26:$A$38</c:f>
              <c:strCache>
                <c:ptCount val="13"/>
                <c:pt idx="0">
                  <c:v>ACTED</c:v>
                </c:pt>
                <c:pt idx="1">
                  <c:v>ALIMA</c:v>
                </c:pt>
                <c:pt idx="2">
                  <c:v>AVSF</c:v>
                </c:pt>
                <c:pt idx="3">
                  <c:v>CARE</c:v>
                </c:pt>
                <c:pt idx="4">
                  <c:v>CRM</c:v>
                </c:pt>
                <c:pt idx="5">
                  <c:v>CRS</c:v>
                </c:pt>
                <c:pt idx="6">
                  <c:v>DGPC</c:v>
                </c:pt>
                <c:pt idx="7">
                  <c:v>IOM</c:v>
                </c:pt>
                <c:pt idx="8">
                  <c:v>IRC</c:v>
                </c:pt>
                <c:pt idx="9">
                  <c:v>MdM B</c:v>
                </c:pt>
                <c:pt idx="10">
                  <c:v>MdM F</c:v>
                </c:pt>
                <c:pt idx="11">
                  <c:v>UNHCR</c:v>
                </c:pt>
                <c:pt idx="12">
                  <c:v>USAID</c:v>
                </c:pt>
              </c:strCache>
            </c:strRef>
          </c:cat>
          <c:val>
            <c:numRef>
              <c:f>'Analyse NFI-Agence'!$H$26:$H$38</c:f>
              <c:numCache>
                <c:formatCode>_-* #,##0\ _€_-;\-* #,##0\ _€_-;_-* "-"??\ _€_-;_-@_-</c:formatCode>
                <c:ptCount val="13"/>
                <c:pt idx="0">
                  <c:v>2594</c:v>
                </c:pt>
                <c:pt idx="1">
                  <c:v>600</c:v>
                </c:pt>
                <c:pt idx="2">
                  <c:v>1600</c:v>
                </c:pt>
                <c:pt idx="3">
                  <c:v>2120</c:v>
                </c:pt>
                <c:pt idx="4">
                  <c:v>9312</c:v>
                </c:pt>
                <c:pt idx="5">
                  <c:v>1215</c:v>
                </c:pt>
                <c:pt idx="6">
                  <c:v>2886</c:v>
                </c:pt>
                <c:pt idx="7">
                  <c:v>718</c:v>
                </c:pt>
                <c:pt idx="8">
                  <c:v>400</c:v>
                </c:pt>
                <c:pt idx="9">
                  <c:v>600</c:v>
                </c:pt>
                <c:pt idx="10">
                  <c:v>1600</c:v>
                </c:pt>
                <c:pt idx="11">
                  <c:v>8608</c:v>
                </c:pt>
                <c:pt idx="12">
                  <c:v>384</c:v>
                </c:pt>
              </c:numCache>
            </c:numRef>
          </c:val>
        </c:ser>
        <c:ser>
          <c:idx val="8"/>
          <c:order val="4"/>
          <c:tx>
            <c:strRef>
              <c:f>'Analyse NFI-Agence'!$J$24:$K$24</c:f>
              <c:strCache>
                <c:ptCount val="1"/>
                <c:pt idx="0">
                  <c:v>Nattes</c:v>
                </c:pt>
              </c:strCache>
            </c:strRef>
          </c:tx>
          <c:invertIfNegative val="0"/>
          <c:dLbls>
            <c:txPr>
              <a:bodyPr/>
              <a:lstStyle/>
              <a:p>
                <a:pPr>
                  <a:defRPr b="1"/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'Analyse NFI-Agence'!$A$26:$A$38</c:f>
              <c:strCache>
                <c:ptCount val="13"/>
                <c:pt idx="0">
                  <c:v>ACTED</c:v>
                </c:pt>
                <c:pt idx="1">
                  <c:v>ALIMA</c:v>
                </c:pt>
                <c:pt idx="2">
                  <c:v>AVSF</c:v>
                </c:pt>
                <c:pt idx="3">
                  <c:v>CARE</c:v>
                </c:pt>
                <c:pt idx="4">
                  <c:v>CRM</c:v>
                </c:pt>
                <c:pt idx="5">
                  <c:v>CRS</c:v>
                </c:pt>
                <c:pt idx="6">
                  <c:v>DGPC</c:v>
                </c:pt>
                <c:pt idx="7">
                  <c:v>IOM</c:v>
                </c:pt>
                <c:pt idx="8">
                  <c:v>IRC</c:v>
                </c:pt>
                <c:pt idx="9">
                  <c:v>MdM B</c:v>
                </c:pt>
                <c:pt idx="10">
                  <c:v>MdM F</c:v>
                </c:pt>
                <c:pt idx="11">
                  <c:v>UNHCR</c:v>
                </c:pt>
                <c:pt idx="12">
                  <c:v>USAID</c:v>
                </c:pt>
              </c:strCache>
            </c:strRef>
          </c:cat>
          <c:val>
            <c:numRef>
              <c:f>'Analyse NFI-Agence'!$J$26:$J$38</c:f>
              <c:numCache>
                <c:formatCode>_-* #,##0\ _€_-;\-* #,##0\ _€_-;_-* "-"??\ _€_-;_-@_-</c:formatCode>
                <c:ptCount val="13"/>
                <c:pt idx="0">
                  <c:v>2594</c:v>
                </c:pt>
                <c:pt idx="1">
                  <c:v>600</c:v>
                </c:pt>
                <c:pt idx="2">
                  <c:v>1600</c:v>
                </c:pt>
                <c:pt idx="3">
                  <c:v>2120</c:v>
                </c:pt>
                <c:pt idx="4">
                  <c:v>10514</c:v>
                </c:pt>
                <c:pt idx="5">
                  <c:v>3429</c:v>
                </c:pt>
                <c:pt idx="6">
                  <c:v>2796</c:v>
                </c:pt>
                <c:pt idx="7">
                  <c:v>718</c:v>
                </c:pt>
                <c:pt idx="8">
                  <c:v>400</c:v>
                </c:pt>
                <c:pt idx="9">
                  <c:v>600</c:v>
                </c:pt>
                <c:pt idx="10">
                  <c:v>1600</c:v>
                </c:pt>
                <c:pt idx="11">
                  <c:v>5793</c:v>
                </c:pt>
                <c:pt idx="12">
                  <c:v>384</c:v>
                </c:pt>
              </c:numCache>
            </c:numRef>
          </c:val>
        </c:ser>
        <c:ser>
          <c:idx val="10"/>
          <c:order val="5"/>
          <c:tx>
            <c:strRef>
              <c:f>'Analyse NFI-Agence'!$L$24:$M$24</c:f>
              <c:strCache>
                <c:ptCount val="1"/>
                <c:pt idx="0">
                  <c:v>Kits cuisine</c:v>
                </c:pt>
              </c:strCache>
            </c:strRef>
          </c:tx>
          <c:invertIfNegative val="0"/>
          <c:dLbls>
            <c:txPr>
              <a:bodyPr/>
              <a:lstStyle/>
              <a:p>
                <a:pPr>
                  <a:defRPr b="1"/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'Analyse NFI-Agence'!$A$26:$A$38</c:f>
              <c:strCache>
                <c:ptCount val="13"/>
                <c:pt idx="0">
                  <c:v>ACTED</c:v>
                </c:pt>
                <c:pt idx="1">
                  <c:v>ALIMA</c:v>
                </c:pt>
                <c:pt idx="2">
                  <c:v>AVSF</c:v>
                </c:pt>
                <c:pt idx="3">
                  <c:v>CARE</c:v>
                </c:pt>
                <c:pt idx="4">
                  <c:v>CRM</c:v>
                </c:pt>
                <c:pt idx="5">
                  <c:v>CRS</c:v>
                </c:pt>
                <c:pt idx="6">
                  <c:v>DGPC</c:v>
                </c:pt>
                <c:pt idx="7">
                  <c:v>IOM</c:v>
                </c:pt>
                <c:pt idx="8">
                  <c:v>IRC</c:v>
                </c:pt>
                <c:pt idx="9">
                  <c:v>MdM B</c:v>
                </c:pt>
                <c:pt idx="10">
                  <c:v>MdM F</c:v>
                </c:pt>
                <c:pt idx="11">
                  <c:v>UNHCR</c:v>
                </c:pt>
                <c:pt idx="12">
                  <c:v>USAID</c:v>
                </c:pt>
              </c:strCache>
            </c:strRef>
          </c:cat>
          <c:val>
            <c:numRef>
              <c:f>'Analyse NFI-Agence'!$L$26:$L$38</c:f>
              <c:numCache>
                <c:formatCode>_-* #,##0\ _€_-;\-* #,##0\ _€_-;_-* "-"??\ _€_-;_-@_-</c:formatCode>
                <c:ptCount val="13"/>
                <c:pt idx="0">
                  <c:v>1297</c:v>
                </c:pt>
                <c:pt idx="1">
                  <c:v>300</c:v>
                </c:pt>
                <c:pt idx="2">
                  <c:v>800</c:v>
                </c:pt>
                <c:pt idx="3">
                  <c:v>1060</c:v>
                </c:pt>
                <c:pt idx="4">
                  <c:v>600</c:v>
                </c:pt>
                <c:pt idx="5">
                  <c:v>345</c:v>
                </c:pt>
                <c:pt idx="6">
                  <c:v>1814</c:v>
                </c:pt>
                <c:pt idx="7">
                  <c:v>718</c:v>
                </c:pt>
                <c:pt idx="8">
                  <c:v>200</c:v>
                </c:pt>
                <c:pt idx="9">
                  <c:v>300</c:v>
                </c:pt>
                <c:pt idx="10">
                  <c:v>800</c:v>
                </c:pt>
                <c:pt idx="11">
                  <c:v>743</c:v>
                </c:pt>
                <c:pt idx="12">
                  <c:v>192</c:v>
                </c:pt>
              </c:numCache>
            </c:numRef>
          </c:val>
        </c:ser>
        <c:ser>
          <c:idx val="12"/>
          <c:order val="6"/>
          <c:tx>
            <c:strRef>
              <c:f>'Analyse NFI-Agence'!$N$24:$O$24</c:f>
              <c:strCache>
                <c:ptCount val="1"/>
                <c:pt idx="0">
                  <c:v>Bidons 10 litres</c:v>
                </c:pt>
              </c:strCache>
            </c:strRef>
          </c:tx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'Analyse NFI-Agence'!$A$26:$A$38</c:f>
              <c:strCache>
                <c:ptCount val="13"/>
                <c:pt idx="0">
                  <c:v>ACTED</c:v>
                </c:pt>
                <c:pt idx="1">
                  <c:v>ALIMA</c:v>
                </c:pt>
                <c:pt idx="2">
                  <c:v>AVSF</c:v>
                </c:pt>
                <c:pt idx="3">
                  <c:v>CARE</c:v>
                </c:pt>
                <c:pt idx="4">
                  <c:v>CRM</c:v>
                </c:pt>
                <c:pt idx="5">
                  <c:v>CRS</c:v>
                </c:pt>
                <c:pt idx="6">
                  <c:v>DGPC</c:v>
                </c:pt>
                <c:pt idx="7">
                  <c:v>IOM</c:v>
                </c:pt>
                <c:pt idx="8">
                  <c:v>IRC</c:v>
                </c:pt>
                <c:pt idx="9">
                  <c:v>MdM B</c:v>
                </c:pt>
                <c:pt idx="10">
                  <c:v>MdM F</c:v>
                </c:pt>
                <c:pt idx="11">
                  <c:v>UNHCR</c:v>
                </c:pt>
                <c:pt idx="12">
                  <c:v>USAID</c:v>
                </c:pt>
              </c:strCache>
            </c:strRef>
          </c:cat>
          <c:val>
            <c:numRef>
              <c:f>'Analyse NFI-Agence'!$N$26:$N$38</c:f>
              <c:numCache>
                <c:formatCode>_-* #,##0\ _€_-;\-* #,##0\ _€_-;_-* "-"??\ _€_-;_-@_-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718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4434</c:v>
                </c:pt>
                <c:pt idx="12">
                  <c:v>0</c:v>
                </c:pt>
              </c:numCache>
            </c:numRef>
          </c:val>
        </c:ser>
        <c:ser>
          <c:idx val="14"/>
          <c:order val="7"/>
          <c:tx>
            <c:strRef>
              <c:f>'Analyse NFI-Agence'!$P$24:$Q$24</c:f>
              <c:strCache>
                <c:ptCount val="1"/>
                <c:pt idx="0">
                  <c:v>Seaux</c:v>
                </c:pt>
              </c:strCache>
            </c:strRef>
          </c:tx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'Analyse NFI-Agence'!$A$26:$A$38</c:f>
              <c:strCache>
                <c:ptCount val="13"/>
                <c:pt idx="0">
                  <c:v>ACTED</c:v>
                </c:pt>
                <c:pt idx="1">
                  <c:v>ALIMA</c:v>
                </c:pt>
                <c:pt idx="2">
                  <c:v>AVSF</c:v>
                </c:pt>
                <c:pt idx="3">
                  <c:v>CARE</c:v>
                </c:pt>
                <c:pt idx="4">
                  <c:v>CRM</c:v>
                </c:pt>
                <c:pt idx="5">
                  <c:v>CRS</c:v>
                </c:pt>
                <c:pt idx="6">
                  <c:v>DGPC</c:v>
                </c:pt>
                <c:pt idx="7">
                  <c:v>IOM</c:v>
                </c:pt>
                <c:pt idx="8">
                  <c:v>IRC</c:v>
                </c:pt>
                <c:pt idx="9">
                  <c:v>MdM B</c:v>
                </c:pt>
                <c:pt idx="10">
                  <c:v>MdM F</c:v>
                </c:pt>
                <c:pt idx="11">
                  <c:v>UNHCR</c:v>
                </c:pt>
                <c:pt idx="12">
                  <c:v>USAID</c:v>
                </c:pt>
              </c:strCache>
            </c:strRef>
          </c:cat>
          <c:val>
            <c:numRef>
              <c:f>'Analyse NFI-Agence'!$P$26:$P$38</c:f>
              <c:numCache>
                <c:formatCode>_-* #,##0\ _€_-;\-* #,##0\ _€_-;_-* "-"??\ _€_-;_-@_-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718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2924</c:v>
                </c:pt>
                <c:pt idx="12">
                  <c:v>0</c:v>
                </c:pt>
              </c:numCache>
            </c:numRef>
          </c:val>
        </c:ser>
        <c:ser>
          <c:idx val="16"/>
          <c:order val="8"/>
          <c:tx>
            <c:strRef>
              <c:f>'Analyse NFI-Agence'!$R$24:$S$24</c:f>
              <c:strCache>
                <c:ptCount val="1"/>
                <c:pt idx="0">
                  <c:v>Moustiquaires </c:v>
                </c:pt>
              </c:strCache>
            </c:strRef>
          </c:tx>
          <c:invertIfNegative val="0"/>
          <c:dLbls>
            <c:dLbl>
              <c:idx val="12"/>
              <c:layout>
                <c:manualLayout>
                  <c:x val="-2.6942547033837719E-3"/>
                  <c:y val="-1.00000000000000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b="1"/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'Analyse NFI-Agence'!$A$26:$A$38</c:f>
              <c:strCache>
                <c:ptCount val="13"/>
                <c:pt idx="0">
                  <c:v>ACTED</c:v>
                </c:pt>
                <c:pt idx="1">
                  <c:v>ALIMA</c:v>
                </c:pt>
                <c:pt idx="2">
                  <c:v>AVSF</c:v>
                </c:pt>
                <c:pt idx="3">
                  <c:v>CARE</c:v>
                </c:pt>
                <c:pt idx="4">
                  <c:v>CRM</c:v>
                </c:pt>
                <c:pt idx="5">
                  <c:v>CRS</c:v>
                </c:pt>
                <c:pt idx="6">
                  <c:v>DGPC</c:v>
                </c:pt>
                <c:pt idx="7">
                  <c:v>IOM</c:v>
                </c:pt>
                <c:pt idx="8">
                  <c:v>IRC</c:v>
                </c:pt>
                <c:pt idx="9">
                  <c:v>MdM B</c:v>
                </c:pt>
                <c:pt idx="10">
                  <c:v>MdM F</c:v>
                </c:pt>
                <c:pt idx="11">
                  <c:v>UNHCR</c:v>
                </c:pt>
                <c:pt idx="12">
                  <c:v>USAID</c:v>
                </c:pt>
              </c:strCache>
            </c:strRef>
          </c:cat>
          <c:val>
            <c:numRef>
              <c:f>'Analyse NFI-Agence'!$R$26:$R$38</c:f>
              <c:numCache>
                <c:formatCode>_-* #,##0\ _€_-;\-* #,##0\ _€_-;_-* "-"??\ _€_-;_-@_-</c:formatCode>
                <c:ptCount val="13"/>
                <c:pt idx="0">
                  <c:v>1400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1479</c:v>
                </c:pt>
                <c:pt idx="6">
                  <c:v>0</c:v>
                </c:pt>
                <c:pt idx="7">
                  <c:v>718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5768</c:v>
                </c:pt>
                <c:pt idx="12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14219264"/>
        <c:axId val="114229248"/>
      </c:barChart>
      <c:catAx>
        <c:axId val="114219264"/>
        <c:scaling>
          <c:orientation val="minMax"/>
        </c:scaling>
        <c:delete val="0"/>
        <c:axPos val="b"/>
        <c:majorTickMark val="none"/>
        <c:minorTickMark val="none"/>
        <c:tickLblPos val="nextTo"/>
        <c:crossAx val="114229248"/>
        <c:crosses val="autoZero"/>
        <c:auto val="1"/>
        <c:lblAlgn val="ctr"/>
        <c:lblOffset val="100"/>
        <c:noMultiLvlLbl val="0"/>
      </c:catAx>
      <c:valAx>
        <c:axId val="114229248"/>
        <c:scaling>
          <c:orientation val="minMax"/>
        </c:scaling>
        <c:delete val="1"/>
        <c:axPos val="l"/>
        <c:numFmt formatCode="_-* #,##0\ _€_-;\-* #,##0\ _€_-;_-* &quot;-&quot;??\ _€_-;_-@_-" sourceLinked="1"/>
        <c:majorTickMark val="none"/>
        <c:minorTickMark val="none"/>
        <c:tickLblPos val="none"/>
        <c:crossAx val="114219264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BE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fr-FR" sz="1400"/>
              <a:t>Quantités de NFI distribuées par région  </a:t>
            </a:r>
          </a:p>
          <a:p>
            <a:pPr>
              <a:defRPr sz="1200"/>
            </a:pPr>
            <a:r>
              <a:rPr lang="fr-FR" sz="1200"/>
              <a:t> Dernière mise à jour le 30/01/2013     Période couverte par le rapport, du 07/04/212 au 30/01/2013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4250134034945882E-2"/>
          <c:y val="5.7962664719364539E-3"/>
          <c:w val="0.97588440325938708"/>
          <c:h val="0.8882879533593545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'Analyse NFI-Region'!$B$19:$C$19</c:f>
              <c:strCache>
                <c:ptCount val="1"/>
                <c:pt idx="0">
                  <c:v>Tentes </c:v>
                </c:pt>
              </c:strCache>
            </c:strRef>
          </c:tx>
          <c:invertIfNegative val="0"/>
          <c:cat>
            <c:strRef>
              <c:f>'Analyse NFI-Region'!$A$21:$A$29</c:f>
              <c:strCache>
                <c:ptCount val="9"/>
                <c:pt idx="0">
                  <c:v> Région de  Mopti</c:v>
                </c:pt>
                <c:pt idx="1">
                  <c:v> Région de Bamako</c:v>
                </c:pt>
                <c:pt idx="2">
                  <c:v> Région de Gao</c:v>
                </c:pt>
                <c:pt idx="3">
                  <c:v> Région de Kayes</c:v>
                </c:pt>
                <c:pt idx="4">
                  <c:v> Région de Kidal</c:v>
                </c:pt>
                <c:pt idx="5">
                  <c:v> Région de Koulikoro</c:v>
                </c:pt>
                <c:pt idx="6">
                  <c:v> Région de Ségou</c:v>
                </c:pt>
                <c:pt idx="7">
                  <c:v> Région de Sikasso</c:v>
                </c:pt>
                <c:pt idx="8">
                  <c:v> Région de Tombouctou</c:v>
                </c:pt>
              </c:strCache>
            </c:strRef>
          </c:cat>
          <c:val>
            <c:numRef>
              <c:f>'Analyse NFI-Region'!$B$21:$B$29</c:f>
              <c:numCache>
                <c:formatCode>_-* #,##0\ _€_-;\-* #,##0\ _€_-;_-* "-"??\ _€_-;_-@_-</c:formatCode>
                <c:ptCount val="9"/>
                <c:pt idx="0">
                  <c:v>17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</c:ser>
        <c:ser>
          <c:idx val="2"/>
          <c:order val="1"/>
          <c:tx>
            <c:strRef>
              <c:f>'Analyse NFI-Region'!$D$19:$E$19</c:f>
              <c:strCache>
                <c:ptCount val="1"/>
                <c:pt idx="0">
                  <c:v>Matelas</c:v>
                </c:pt>
              </c:strCache>
            </c:strRef>
          </c:tx>
          <c:invertIfNegative val="0"/>
          <c:cat>
            <c:strRef>
              <c:f>'Analyse NFI-Region'!$A$21:$A$29</c:f>
              <c:strCache>
                <c:ptCount val="9"/>
                <c:pt idx="0">
                  <c:v> Région de  Mopti</c:v>
                </c:pt>
                <c:pt idx="1">
                  <c:v> Région de Bamako</c:v>
                </c:pt>
                <c:pt idx="2">
                  <c:v> Région de Gao</c:v>
                </c:pt>
                <c:pt idx="3">
                  <c:v> Région de Kayes</c:v>
                </c:pt>
                <c:pt idx="4">
                  <c:v> Région de Kidal</c:v>
                </c:pt>
                <c:pt idx="5">
                  <c:v> Région de Koulikoro</c:v>
                </c:pt>
                <c:pt idx="6">
                  <c:v> Région de Ségou</c:v>
                </c:pt>
                <c:pt idx="7">
                  <c:v> Région de Sikasso</c:v>
                </c:pt>
                <c:pt idx="8">
                  <c:v> Région de Tombouctou</c:v>
                </c:pt>
              </c:strCache>
            </c:strRef>
          </c:cat>
          <c:val>
            <c:numRef>
              <c:f>'Analyse NFI-Region'!$D$21:$D$29</c:f>
              <c:numCache>
                <c:formatCode>_-* #,##0\ _€_-;\-* #,##0\ _€_-;_-* "-"??\ _€_-;_-@_-</c:formatCode>
                <c:ptCount val="9"/>
                <c:pt idx="0">
                  <c:v>50</c:v>
                </c:pt>
                <c:pt idx="1">
                  <c:v>415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285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</c:ser>
        <c:ser>
          <c:idx val="4"/>
          <c:order val="2"/>
          <c:tx>
            <c:strRef>
              <c:f>'Analyse NFI-Region'!$F$19:$G$19</c:f>
              <c:strCache>
                <c:ptCount val="1"/>
                <c:pt idx="0">
                  <c:v>Baches 4m x 5m </c:v>
                </c:pt>
              </c:strCache>
            </c:strRef>
          </c:tx>
          <c:spPr>
            <a:solidFill>
              <a:srgbClr val="00B050"/>
            </a:solidFill>
          </c:spPr>
          <c:invertIfNegative val="0"/>
          <c:dLbls>
            <c:dLbl>
              <c:idx val="4"/>
              <c:layout>
                <c:manualLayout>
                  <c:x val="-4.458636740470730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7.6433772693783935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b="1"/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'Analyse NFI-Region'!$A$21:$A$29</c:f>
              <c:strCache>
                <c:ptCount val="9"/>
                <c:pt idx="0">
                  <c:v> Région de  Mopti</c:v>
                </c:pt>
                <c:pt idx="1">
                  <c:v> Région de Bamako</c:v>
                </c:pt>
                <c:pt idx="2">
                  <c:v> Région de Gao</c:v>
                </c:pt>
                <c:pt idx="3">
                  <c:v> Région de Kayes</c:v>
                </c:pt>
                <c:pt idx="4">
                  <c:v> Région de Kidal</c:v>
                </c:pt>
                <c:pt idx="5">
                  <c:v> Région de Koulikoro</c:v>
                </c:pt>
                <c:pt idx="6">
                  <c:v> Région de Ségou</c:v>
                </c:pt>
                <c:pt idx="7">
                  <c:v> Région de Sikasso</c:v>
                </c:pt>
                <c:pt idx="8">
                  <c:v> Région de Tombouctou</c:v>
                </c:pt>
              </c:strCache>
            </c:strRef>
          </c:cat>
          <c:val>
            <c:numRef>
              <c:f>'Analyse NFI-Region'!$F$21:$F$29</c:f>
              <c:numCache>
                <c:formatCode>_-* #,##0\ _€_-;\-* #,##0\ _€_-;_-* "-"??\ _€_-;_-@_-</c:formatCode>
                <c:ptCount val="9"/>
                <c:pt idx="0">
                  <c:v>3449</c:v>
                </c:pt>
                <c:pt idx="1">
                  <c:v>262</c:v>
                </c:pt>
                <c:pt idx="2">
                  <c:v>500</c:v>
                </c:pt>
                <c:pt idx="3">
                  <c:v>240</c:v>
                </c:pt>
                <c:pt idx="4">
                  <c:v>400</c:v>
                </c:pt>
                <c:pt idx="5">
                  <c:v>80</c:v>
                </c:pt>
                <c:pt idx="6">
                  <c:v>597</c:v>
                </c:pt>
                <c:pt idx="7">
                  <c:v>320</c:v>
                </c:pt>
                <c:pt idx="8">
                  <c:v>1500</c:v>
                </c:pt>
              </c:numCache>
            </c:numRef>
          </c:val>
        </c:ser>
        <c:ser>
          <c:idx val="6"/>
          <c:order val="3"/>
          <c:tx>
            <c:strRef>
              <c:f>'Analyse NFI-Region'!$H$19:$I$19</c:f>
              <c:strCache>
                <c:ptCount val="1"/>
                <c:pt idx="0">
                  <c:v>Couvertures</c:v>
                </c:pt>
              </c:strCache>
            </c:strRef>
          </c:tx>
          <c:invertIfNegative val="0"/>
          <c:dLbls>
            <c:dLbl>
              <c:idx val="2"/>
              <c:layout>
                <c:manualLayout>
                  <c:x val="1.4649806432975254E-2"/>
                  <c:y val="-2.34666658782852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1.7197598856101434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1.0828117798286059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1.146506590406759E-2"/>
                  <c:y val="4.69333317565704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-9.5542215867228993E-3"/>
                  <c:y val="-4.69333317565704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b="1"/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'Analyse NFI-Region'!$A$21:$A$29</c:f>
              <c:strCache>
                <c:ptCount val="9"/>
                <c:pt idx="0">
                  <c:v> Région de  Mopti</c:v>
                </c:pt>
                <c:pt idx="1">
                  <c:v> Région de Bamako</c:v>
                </c:pt>
                <c:pt idx="2">
                  <c:v> Région de Gao</c:v>
                </c:pt>
                <c:pt idx="3">
                  <c:v> Région de Kayes</c:v>
                </c:pt>
                <c:pt idx="4">
                  <c:v> Région de Kidal</c:v>
                </c:pt>
                <c:pt idx="5">
                  <c:v> Région de Koulikoro</c:v>
                </c:pt>
                <c:pt idx="6">
                  <c:v> Région de Ségou</c:v>
                </c:pt>
                <c:pt idx="7">
                  <c:v> Région de Sikasso</c:v>
                </c:pt>
                <c:pt idx="8">
                  <c:v> Région de Tombouctou</c:v>
                </c:pt>
              </c:strCache>
            </c:strRef>
          </c:cat>
          <c:val>
            <c:numRef>
              <c:f>'Analyse NFI-Region'!$H$21:$H$29</c:f>
              <c:numCache>
                <c:formatCode>_-* #,##0\ _€_-;\-* #,##0\ _€_-;_-* "-"??\ _€_-;_-@_-</c:formatCode>
                <c:ptCount val="9"/>
                <c:pt idx="0">
                  <c:v>21561</c:v>
                </c:pt>
                <c:pt idx="1">
                  <c:v>2174</c:v>
                </c:pt>
                <c:pt idx="2">
                  <c:v>1150</c:v>
                </c:pt>
                <c:pt idx="3">
                  <c:v>586</c:v>
                </c:pt>
                <c:pt idx="4">
                  <c:v>1022</c:v>
                </c:pt>
                <c:pt idx="5">
                  <c:v>734</c:v>
                </c:pt>
                <c:pt idx="6">
                  <c:v>1704</c:v>
                </c:pt>
                <c:pt idx="7">
                  <c:v>706</c:v>
                </c:pt>
                <c:pt idx="8">
                  <c:v>3000</c:v>
                </c:pt>
              </c:numCache>
            </c:numRef>
          </c:val>
        </c:ser>
        <c:ser>
          <c:idx val="8"/>
          <c:order val="4"/>
          <c:tx>
            <c:strRef>
              <c:f>'Analyse NFI-Region'!$J$19:$K$19</c:f>
              <c:strCache>
                <c:ptCount val="1"/>
                <c:pt idx="0">
                  <c:v>Nattes</c:v>
                </c:pt>
              </c:strCache>
            </c:strRef>
          </c:tx>
          <c:invertIfNegative val="0"/>
          <c:dLbls>
            <c:dLbl>
              <c:idx val="2"/>
              <c:layout>
                <c:manualLayout>
                  <c:x val="-1.5286754538756787E-2"/>
                  <c:y val="-2.34666658782852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9.5542215867229462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1.4649806432975254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1.2102014009849031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900" b="1"/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'Analyse NFI-Region'!$A$21:$A$29</c:f>
              <c:strCache>
                <c:ptCount val="9"/>
                <c:pt idx="0">
                  <c:v> Région de  Mopti</c:v>
                </c:pt>
                <c:pt idx="1">
                  <c:v> Région de Bamako</c:v>
                </c:pt>
                <c:pt idx="2">
                  <c:v> Région de Gao</c:v>
                </c:pt>
                <c:pt idx="3">
                  <c:v> Région de Kayes</c:v>
                </c:pt>
                <c:pt idx="4">
                  <c:v> Région de Kidal</c:v>
                </c:pt>
                <c:pt idx="5">
                  <c:v> Région de Koulikoro</c:v>
                </c:pt>
                <c:pt idx="6">
                  <c:v> Région de Ségou</c:v>
                </c:pt>
                <c:pt idx="7">
                  <c:v> Région de Sikasso</c:v>
                </c:pt>
                <c:pt idx="8">
                  <c:v> Région de Tombouctou</c:v>
                </c:pt>
              </c:strCache>
            </c:strRef>
          </c:cat>
          <c:val>
            <c:numRef>
              <c:f>'Analyse NFI-Region'!$J$21:$J$29</c:f>
              <c:numCache>
                <c:formatCode>_-* #,##0\ _€_-;\-* #,##0\ _€_-;_-* "-"??\ _€_-;_-@_-</c:formatCode>
                <c:ptCount val="9"/>
                <c:pt idx="0">
                  <c:v>22569</c:v>
                </c:pt>
                <c:pt idx="1">
                  <c:v>2089</c:v>
                </c:pt>
                <c:pt idx="2">
                  <c:v>1000</c:v>
                </c:pt>
                <c:pt idx="3">
                  <c:v>546</c:v>
                </c:pt>
                <c:pt idx="4">
                  <c:v>800</c:v>
                </c:pt>
                <c:pt idx="5">
                  <c:v>734</c:v>
                </c:pt>
                <c:pt idx="6">
                  <c:v>1704</c:v>
                </c:pt>
                <c:pt idx="7">
                  <c:v>706</c:v>
                </c:pt>
                <c:pt idx="8">
                  <c:v>3000</c:v>
                </c:pt>
              </c:numCache>
            </c:numRef>
          </c:val>
        </c:ser>
        <c:ser>
          <c:idx val="10"/>
          <c:order val="5"/>
          <c:tx>
            <c:strRef>
              <c:f>'Analyse NFI-Region'!$L$19:$M$19</c:f>
              <c:strCache>
                <c:ptCount val="1"/>
                <c:pt idx="0">
                  <c:v>Kits cuisine</c:v>
                </c:pt>
              </c:strCache>
            </c:strRef>
          </c:tx>
          <c:spPr>
            <a:solidFill>
              <a:srgbClr val="FFFF00"/>
            </a:solidFill>
          </c:spPr>
          <c:invertIfNegative val="0"/>
          <c:dLbls>
            <c:dLbl>
              <c:idx val="2"/>
              <c:layout>
                <c:manualLayout>
                  <c:x val="2.5477924231261315E-3"/>
                  <c:y val="-1.407999952697114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8.9173236343356149E-3"/>
                  <c:y val="2.34666658782852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1.9108443173445984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1.4012858327193721E-2"/>
                  <c:y val="4.69333317565704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-7.0064291635967679E-3"/>
                  <c:y val="-1.64266661147996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b="1"/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'Analyse NFI-Region'!$A$21:$A$29</c:f>
              <c:strCache>
                <c:ptCount val="9"/>
                <c:pt idx="0">
                  <c:v> Région de  Mopti</c:v>
                </c:pt>
                <c:pt idx="1">
                  <c:v> Région de Bamako</c:v>
                </c:pt>
                <c:pt idx="2">
                  <c:v> Région de Gao</c:v>
                </c:pt>
                <c:pt idx="3">
                  <c:v> Région de Kayes</c:v>
                </c:pt>
                <c:pt idx="4">
                  <c:v> Région de Kidal</c:v>
                </c:pt>
                <c:pt idx="5">
                  <c:v> Région de Koulikoro</c:v>
                </c:pt>
                <c:pt idx="6">
                  <c:v> Région de Ségou</c:v>
                </c:pt>
                <c:pt idx="7">
                  <c:v> Région de Sikasso</c:v>
                </c:pt>
                <c:pt idx="8">
                  <c:v> Région de Tombouctou</c:v>
                </c:pt>
              </c:strCache>
            </c:strRef>
          </c:cat>
          <c:val>
            <c:numRef>
              <c:f>'Analyse NFI-Region'!$L$21:$L$29</c:f>
              <c:numCache>
                <c:formatCode>_-* #,##0\ _€_-;\-* #,##0\ _€_-;_-* "-"??\ _€_-;_-@_-</c:formatCode>
                <c:ptCount val="9"/>
                <c:pt idx="0">
                  <c:v>3189</c:v>
                </c:pt>
                <c:pt idx="1">
                  <c:v>1412</c:v>
                </c:pt>
                <c:pt idx="2">
                  <c:v>500</c:v>
                </c:pt>
                <c:pt idx="3">
                  <c:v>306</c:v>
                </c:pt>
                <c:pt idx="4">
                  <c:v>400</c:v>
                </c:pt>
                <c:pt idx="5">
                  <c:v>369</c:v>
                </c:pt>
                <c:pt idx="6">
                  <c:v>1107</c:v>
                </c:pt>
                <c:pt idx="7">
                  <c:v>386</c:v>
                </c:pt>
                <c:pt idx="8">
                  <c:v>1500</c:v>
                </c:pt>
              </c:numCache>
            </c:numRef>
          </c:val>
        </c:ser>
        <c:ser>
          <c:idx val="12"/>
          <c:order val="6"/>
          <c:tx>
            <c:strRef>
              <c:f>'Analyse NFI-Region'!$N$19:$O$19</c:f>
              <c:strCache>
                <c:ptCount val="1"/>
                <c:pt idx="0">
                  <c:v>Bidons 10 litres</c:v>
                </c:pt>
              </c:strCache>
            </c:strRef>
          </c:tx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'Analyse NFI-Region'!$A$21:$A$29</c:f>
              <c:strCache>
                <c:ptCount val="9"/>
                <c:pt idx="0">
                  <c:v> Région de  Mopti</c:v>
                </c:pt>
                <c:pt idx="1">
                  <c:v> Région de Bamako</c:v>
                </c:pt>
                <c:pt idx="2">
                  <c:v> Région de Gao</c:v>
                </c:pt>
                <c:pt idx="3">
                  <c:v> Région de Kayes</c:v>
                </c:pt>
                <c:pt idx="4">
                  <c:v> Région de Kidal</c:v>
                </c:pt>
                <c:pt idx="5">
                  <c:v> Région de Koulikoro</c:v>
                </c:pt>
                <c:pt idx="6">
                  <c:v> Région de Ségou</c:v>
                </c:pt>
                <c:pt idx="7">
                  <c:v> Région de Sikasso</c:v>
                </c:pt>
                <c:pt idx="8">
                  <c:v> Région de Tombouctou</c:v>
                </c:pt>
              </c:strCache>
            </c:strRef>
          </c:cat>
          <c:val>
            <c:numRef>
              <c:f>'Analyse NFI-Region'!$N$21:$N$29</c:f>
              <c:numCache>
                <c:formatCode>_-* #,##0\ _€_-;\-* #,##0\ _€_-;_-* "-"??\ _€_-;_-@_-</c:formatCode>
                <c:ptCount val="9"/>
                <c:pt idx="0" formatCode="General">
                  <c:v>4434</c:v>
                </c:pt>
                <c:pt idx="1">
                  <c:v>718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</c:ser>
        <c:ser>
          <c:idx val="14"/>
          <c:order val="7"/>
          <c:tx>
            <c:strRef>
              <c:f>'Analyse NFI-Region'!$P$19:$Q$19</c:f>
              <c:strCache>
                <c:ptCount val="1"/>
                <c:pt idx="0">
                  <c:v>Seaux</c:v>
                </c:pt>
              </c:strCache>
            </c:strRef>
          </c:tx>
          <c:spPr>
            <a:solidFill>
              <a:schemeClr val="accent6"/>
            </a:solidFill>
          </c:spPr>
          <c:invertIfNegative val="0"/>
          <c:dLbls>
            <c:dLbl>
              <c:idx val="1"/>
              <c:layout>
                <c:manualLayout>
                  <c:x val="1.3375910221412188E-2"/>
                  <c:y val="4.69333317565704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delete val="1"/>
            </c:dLbl>
            <c:dLbl>
              <c:idx val="3"/>
              <c:delete val="1"/>
            </c:dLbl>
            <c:dLbl>
              <c:idx val="4"/>
              <c:delete val="1"/>
            </c:dLbl>
            <c:dLbl>
              <c:idx val="5"/>
              <c:delete val="1"/>
            </c:dLbl>
            <c:dLbl>
              <c:idx val="7"/>
              <c:delete val="1"/>
            </c:dLbl>
            <c:dLbl>
              <c:idx val="8"/>
              <c:delete val="1"/>
            </c:dLbl>
            <c:txPr>
              <a:bodyPr/>
              <a:lstStyle/>
              <a:p>
                <a:pPr>
                  <a:defRPr sz="800" b="1"/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'Analyse NFI-Region'!$A$21:$A$29</c:f>
              <c:strCache>
                <c:ptCount val="9"/>
                <c:pt idx="0">
                  <c:v> Région de  Mopti</c:v>
                </c:pt>
                <c:pt idx="1">
                  <c:v> Région de Bamako</c:v>
                </c:pt>
                <c:pt idx="2">
                  <c:v> Région de Gao</c:v>
                </c:pt>
                <c:pt idx="3">
                  <c:v> Région de Kayes</c:v>
                </c:pt>
                <c:pt idx="4">
                  <c:v> Région de Kidal</c:v>
                </c:pt>
                <c:pt idx="5">
                  <c:v> Région de Koulikoro</c:v>
                </c:pt>
                <c:pt idx="6">
                  <c:v> Région de Ségou</c:v>
                </c:pt>
                <c:pt idx="7">
                  <c:v> Région de Sikasso</c:v>
                </c:pt>
                <c:pt idx="8">
                  <c:v> Région de Tombouctou</c:v>
                </c:pt>
              </c:strCache>
            </c:strRef>
          </c:cat>
          <c:val>
            <c:numRef>
              <c:f>'Analyse NFI-Region'!$P$21:$P$29</c:f>
              <c:numCache>
                <c:formatCode>_-* #,##0\ _€_-;\-* #,##0\ _€_-;_-* "-"??\ _€_-;_-@_-</c:formatCode>
                <c:ptCount val="9"/>
                <c:pt idx="0">
                  <c:v>2924</c:v>
                </c:pt>
                <c:pt idx="1">
                  <c:v>718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</c:ser>
        <c:ser>
          <c:idx val="16"/>
          <c:order val="8"/>
          <c:tx>
            <c:strRef>
              <c:f>'Analyse NFI-Region'!$R$19:$S$19</c:f>
              <c:strCache>
                <c:ptCount val="1"/>
                <c:pt idx="0">
                  <c:v>Moustiquaires 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dLbl>
              <c:idx val="1"/>
              <c:layout>
                <c:manualLayout>
                  <c:x val="-6.3694810578153287E-4"/>
                  <c:y val="-1.877333270262819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delete val="1"/>
            </c:dLbl>
            <c:dLbl>
              <c:idx val="3"/>
              <c:delete val="1"/>
            </c:dLbl>
            <c:dLbl>
              <c:idx val="4"/>
              <c:delete val="1"/>
            </c:dLbl>
            <c:dLbl>
              <c:idx val="5"/>
              <c:layout>
                <c:manualLayout>
                  <c:x val="-7.0064291635968607E-3"/>
                  <c:y val="-1.877333270262819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delete val="1"/>
            </c:dLbl>
            <c:dLbl>
              <c:idx val="7"/>
              <c:delete val="1"/>
            </c:dLbl>
            <c:dLbl>
              <c:idx val="8"/>
              <c:delete val="1"/>
            </c:dLbl>
            <c:txPr>
              <a:bodyPr/>
              <a:lstStyle/>
              <a:p>
                <a:pPr>
                  <a:defRPr b="1"/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'Analyse NFI-Region'!$A$21:$A$29</c:f>
              <c:strCache>
                <c:ptCount val="9"/>
                <c:pt idx="0">
                  <c:v> Région de  Mopti</c:v>
                </c:pt>
                <c:pt idx="1">
                  <c:v> Région de Bamako</c:v>
                </c:pt>
                <c:pt idx="2">
                  <c:v> Région de Gao</c:v>
                </c:pt>
                <c:pt idx="3">
                  <c:v> Région de Kayes</c:v>
                </c:pt>
                <c:pt idx="4">
                  <c:v> Région de Kidal</c:v>
                </c:pt>
                <c:pt idx="5">
                  <c:v> Région de Koulikoro</c:v>
                </c:pt>
                <c:pt idx="6">
                  <c:v> Région de Ségou</c:v>
                </c:pt>
                <c:pt idx="7">
                  <c:v> Région de Sikasso</c:v>
                </c:pt>
                <c:pt idx="8">
                  <c:v> Région de Tombouctou</c:v>
                </c:pt>
              </c:strCache>
            </c:strRef>
          </c:cat>
          <c:val>
            <c:numRef>
              <c:f>'Analyse NFI-Region'!$R$21:$R$29</c:f>
              <c:numCache>
                <c:formatCode>_-* #,##0\ _€_-;\-* #,##0\ _€_-;_-* "-"??\ _€_-;_-@_-</c:formatCode>
                <c:ptCount val="9"/>
                <c:pt idx="0">
                  <c:v>7247</c:v>
                </c:pt>
                <c:pt idx="1">
                  <c:v>1548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570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14349568"/>
        <c:axId val="114351104"/>
      </c:barChart>
      <c:catAx>
        <c:axId val="114349568"/>
        <c:scaling>
          <c:orientation val="minMax"/>
        </c:scaling>
        <c:delete val="0"/>
        <c:axPos val="b"/>
        <c:majorTickMark val="none"/>
        <c:minorTickMark val="none"/>
        <c:tickLblPos val="nextTo"/>
        <c:crossAx val="114351104"/>
        <c:crosses val="autoZero"/>
        <c:auto val="1"/>
        <c:lblAlgn val="ctr"/>
        <c:lblOffset val="100"/>
        <c:noMultiLvlLbl val="0"/>
      </c:catAx>
      <c:valAx>
        <c:axId val="114351104"/>
        <c:scaling>
          <c:orientation val="minMax"/>
        </c:scaling>
        <c:delete val="1"/>
        <c:axPos val="l"/>
        <c:numFmt formatCode="_-* #,##0\ _€_-;\-* #,##0\ _€_-;_-* &quot;-&quot;??\ _€_-;_-@_-" sourceLinked="1"/>
        <c:majorTickMark val="none"/>
        <c:minorTickMark val="none"/>
        <c:tickLblPos val="none"/>
        <c:crossAx val="11434956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8326530608145402"/>
          <c:y val="0.24623590983774371"/>
          <c:w val="7.7319771700264814E-2"/>
          <c:h val="0.38191111787805204"/>
        </c:manualLayout>
      </c:layout>
      <c:overlay val="0"/>
    </c:legend>
    <c:plotVisOnly val="1"/>
    <c:dispBlanksAs val="gap"/>
    <c:showDLblsOverMax val="0"/>
  </c:chart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BE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1"/>
    <c:plotArea>
      <c:layout>
        <c:manualLayout>
          <c:layoutTarget val="inner"/>
          <c:xMode val="edge"/>
          <c:yMode val="edge"/>
          <c:x val="1.3247088883764E-3"/>
          <c:y val="3.0185603487452354E-3"/>
          <c:w val="0.98061432697481854"/>
          <c:h val="0.89238318590901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'Analyse Agence-Béneficiaires'!$B$27</c:f>
              <c:strCache>
                <c:ptCount val="1"/>
                <c:pt idx="0">
                  <c:v> #  Familles</c:v>
                </c:pt>
              </c:strCache>
            </c:strRef>
          </c:tx>
          <c:invertIfNegative val="0"/>
          <c:dLbls>
            <c:txPr>
              <a:bodyPr/>
              <a:lstStyle/>
              <a:p>
                <a:pPr>
                  <a:defRPr b="1"/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'Analyse Agence-Béneficiaires'!$A$28:$A$40</c:f>
              <c:strCache>
                <c:ptCount val="13"/>
                <c:pt idx="0">
                  <c:v>ACTED</c:v>
                </c:pt>
                <c:pt idx="1">
                  <c:v>ALIMA</c:v>
                </c:pt>
                <c:pt idx="2">
                  <c:v>AVSF</c:v>
                </c:pt>
                <c:pt idx="3">
                  <c:v>CARE</c:v>
                </c:pt>
                <c:pt idx="4">
                  <c:v>CRM</c:v>
                </c:pt>
                <c:pt idx="5">
                  <c:v>CRS</c:v>
                </c:pt>
                <c:pt idx="6">
                  <c:v>DGPC</c:v>
                </c:pt>
                <c:pt idx="7">
                  <c:v>IOM</c:v>
                </c:pt>
                <c:pt idx="8">
                  <c:v>IRC</c:v>
                </c:pt>
                <c:pt idx="9">
                  <c:v>MdM B</c:v>
                </c:pt>
                <c:pt idx="10">
                  <c:v>MdM F</c:v>
                </c:pt>
                <c:pt idx="11">
                  <c:v>UNHCR</c:v>
                </c:pt>
                <c:pt idx="12">
                  <c:v>USAID</c:v>
                </c:pt>
              </c:strCache>
            </c:strRef>
          </c:cat>
          <c:val>
            <c:numRef>
              <c:f>'Analyse Agence-Béneficiaires'!$B$28:$B$40</c:f>
              <c:numCache>
                <c:formatCode>_-* #,##0\ _€_-;\-* #,##0\ _€_-;_-* "-"??\ _€_-;_-@_-</c:formatCode>
                <c:ptCount val="13"/>
                <c:pt idx="0">
                  <c:v>1297</c:v>
                </c:pt>
                <c:pt idx="1">
                  <c:v>300</c:v>
                </c:pt>
                <c:pt idx="2">
                  <c:v>800</c:v>
                </c:pt>
                <c:pt idx="3">
                  <c:v>1002</c:v>
                </c:pt>
                <c:pt idx="4">
                  <c:v>2972</c:v>
                </c:pt>
                <c:pt idx="5">
                  <c:v>493</c:v>
                </c:pt>
                <c:pt idx="6">
                  <c:v>971</c:v>
                </c:pt>
                <c:pt idx="7">
                  <c:v>359</c:v>
                </c:pt>
                <c:pt idx="8">
                  <c:v>1000</c:v>
                </c:pt>
                <c:pt idx="9">
                  <c:v>300</c:v>
                </c:pt>
                <c:pt idx="10">
                  <c:v>700</c:v>
                </c:pt>
                <c:pt idx="11">
                  <c:v>4398</c:v>
                </c:pt>
                <c:pt idx="12">
                  <c:v>192</c:v>
                </c:pt>
              </c:numCache>
            </c:numRef>
          </c:val>
        </c:ser>
        <c:ser>
          <c:idx val="2"/>
          <c:order val="1"/>
          <c:tx>
            <c:strRef>
              <c:f>'Analyse Agence-Béneficiaires'!$D$27</c:f>
              <c:strCache>
                <c:ptCount val="1"/>
                <c:pt idx="0">
                  <c:v> # Personnes</c:v>
                </c:pt>
              </c:strCache>
            </c:strRef>
          </c:tx>
          <c:invertIfNegative val="0"/>
          <c:dLbls>
            <c:dLbl>
              <c:idx val="1"/>
              <c:layout>
                <c:manualLayout>
                  <c:x val="0"/>
                  <c:y val="-8.456663373525056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1.8674136321195152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0"/>
                  <c:y val="-8.456663373525056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layout>
                <c:manualLayout>
                  <c:x val="0"/>
                  <c:y val="-8.456663373525056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000" b="1"/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'Analyse Agence-Béneficiaires'!$A$28:$A$40</c:f>
              <c:strCache>
                <c:ptCount val="13"/>
                <c:pt idx="0">
                  <c:v>ACTED</c:v>
                </c:pt>
                <c:pt idx="1">
                  <c:v>ALIMA</c:v>
                </c:pt>
                <c:pt idx="2">
                  <c:v>AVSF</c:v>
                </c:pt>
                <c:pt idx="3">
                  <c:v>CARE</c:v>
                </c:pt>
                <c:pt idx="4">
                  <c:v>CRM</c:v>
                </c:pt>
                <c:pt idx="5">
                  <c:v>CRS</c:v>
                </c:pt>
                <c:pt idx="6">
                  <c:v>DGPC</c:v>
                </c:pt>
                <c:pt idx="7">
                  <c:v>IOM</c:v>
                </c:pt>
                <c:pt idx="8">
                  <c:v>IRC</c:v>
                </c:pt>
                <c:pt idx="9">
                  <c:v>MdM B</c:v>
                </c:pt>
                <c:pt idx="10">
                  <c:v>MdM F</c:v>
                </c:pt>
                <c:pt idx="11">
                  <c:v>UNHCR</c:v>
                </c:pt>
                <c:pt idx="12">
                  <c:v>USAID</c:v>
                </c:pt>
              </c:strCache>
            </c:strRef>
          </c:cat>
          <c:val>
            <c:numRef>
              <c:f>'Analyse Agence-Béneficiaires'!$D$28:$D$40</c:f>
              <c:numCache>
                <c:formatCode>_-* #,##0\ _€_-;\-* #,##0\ _€_-;_-* "-"??\ _€_-;_-@_-</c:formatCode>
                <c:ptCount val="13"/>
                <c:pt idx="0">
                  <c:v>8054</c:v>
                </c:pt>
                <c:pt idx="1">
                  <c:v>1800</c:v>
                </c:pt>
                <c:pt idx="2">
                  <c:v>4800</c:v>
                </c:pt>
                <c:pt idx="3">
                  <c:v>6012</c:v>
                </c:pt>
                <c:pt idx="4">
                  <c:v>22656</c:v>
                </c:pt>
                <c:pt idx="5">
                  <c:v>8411</c:v>
                </c:pt>
                <c:pt idx="6">
                  <c:v>5826</c:v>
                </c:pt>
                <c:pt idx="7">
                  <c:v>2154</c:v>
                </c:pt>
                <c:pt idx="8">
                  <c:v>6000</c:v>
                </c:pt>
                <c:pt idx="9">
                  <c:v>1800</c:v>
                </c:pt>
                <c:pt idx="10">
                  <c:v>4200</c:v>
                </c:pt>
                <c:pt idx="11">
                  <c:v>26405</c:v>
                </c:pt>
                <c:pt idx="12">
                  <c:v>1536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overlap val="100"/>
        <c:axId val="113517696"/>
        <c:axId val="113519232"/>
      </c:barChart>
      <c:catAx>
        <c:axId val="113517696"/>
        <c:scaling>
          <c:orientation val="minMax"/>
        </c:scaling>
        <c:delete val="0"/>
        <c:axPos val="b"/>
        <c:majorTickMark val="none"/>
        <c:minorTickMark val="none"/>
        <c:tickLblPos val="nextTo"/>
        <c:crossAx val="113519232"/>
        <c:crosses val="autoZero"/>
        <c:auto val="1"/>
        <c:lblAlgn val="ctr"/>
        <c:lblOffset val="100"/>
        <c:noMultiLvlLbl val="0"/>
      </c:catAx>
      <c:valAx>
        <c:axId val="113519232"/>
        <c:scaling>
          <c:orientation val="minMax"/>
        </c:scaling>
        <c:delete val="1"/>
        <c:axPos val="l"/>
        <c:numFmt formatCode="_-* #,##0\ _€_-;\-* #,##0\ _€_-;_-* &quot;-&quot;??\ _€_-;_-@_-" sourceLinked="1"/>
        <c:majorTickMark val="none"/>
        <c:minorTickMark val="none"/>
        <c:tickLblPos val="none"/>
        <c:crossAx val="113517696"/>
        <c:crosses val="autoZero"/>
        <c:crossBetween val="between"/>
      </c:valAx>
    </c:plotArea>
    <c:legend>
      <c:legendPos val="t"/>
      <c:layout>
        <c:manualLayout>
          <c:xMode val="edge"/>
          <c:yMode val="edge"/>
          <c:x val="0.5269711578939662"/>
          <c:y val="0.21237887722560495"/>
          <c:w val="0.16714303903501426"/>
          <c:h val="7.0493073078998131E-2"/>
        </c:manualLayout>
      </c:layout>
      <c:overlay val="0"/>
    </c:legend>
    <c:plotVisOnly val="1"/>
    <c:dispBlanksAs val="gap"/>
    <c:showDLblsOverMax val="0"/>
  </c:chart>
  <c:printSettings>
    <c:headerFooter/>
    <c:pageMargins b="0.75000000000000056" l="0.70000000000000051" r="0.70000000000000051" t="0.75000000000000056" header="0.30000000000000027" footer="0.30000000000000027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BE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 sz="1200" i="0"/>
            </a:pPr>
            <a:r>
              <a:rPr lang="en-US" sz="1200" i="0"/>
              <a:t>Mise en relation du nb de bénéficiaires et du nb de déplacés recensés sur la région</a:t>
            </a:r>
          </a:p>
        </c:rich>
      </c:tx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3"/>
          <c:order val="0"/>
          <c:tx>
            <c:strRef>
              <c:f>'Analyse Région-Bénéficiaires.'!$E$23</c:f>
              <c:strCache>
                <c:ptCount val="1"/>
                <c:pt idx="0">
                  <c:v># PDI Recensées</c:v>
                </c:pt>
              </c:strCache>
            </c:strRef>
          </c:tx>
          <c:invertIfNegative val="0"/>
          <c:dLbls>
            <c:txPr>
              <a:bodyPr/>
              <a:lstStyle/>
              <a:p>
                <a:pPr>
                  <a:defRPr sz="700" b="1"/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'Analyse Région-Bénéficiaires.'!$A$24:$A$32</c:f>
              <c:strCache>
                <c:ptCount val="9"/>
                <c:pt idx="0">
                  <c:v> Région de  Mopti</c:v>
                </c:pt>
                <c:pt idx="1">
                  <c:v> Région de Bamako</c:v>
                </c:pt>
                <c:pt idx="2">
                  <c:v> Région de Gao</c:v>
                </c:pt>
                <c:pt idx="3">
                  <c:v> Région de Kayes</c:v>
                </c:pt>
                <c:pt idx="4">
                  <c:v> Région de Kidal</c:v>
                </c:pt>
                <c:pt idx="5">
                  <c:v> Région de Koulikoro</c:v>
                </c:pt>
                <c:pt idx="6">
                  <c:v> Région de Ségou</c:v>
                </c:pt>
                <c:pt idx="7">
                  <c:v> Région de Sikasso</c:v>
                </c:pt>
                <c:pt idx="8">
                  <c:v> Région de Tombouctou</c:v>
                </c:pt>
              </c:strCache>
            </c:strRef>
          </c:cat>
          <c:val>
            <c:numRef>
              <c:f>'Analyse Région-Bénéficiaires.'!$E$24:$E$32</c:f>
              <c:numCache>
                <c:formatCode>General</c:formatCode>
                <c:ptCount val="9"/>
                <c:pt idx="0">
                  <c:v>40056</c:v>
                </c:pt>
                <c:pt idx="1">
                  <c:v>51085</c:v>
                </c:pt>
                <c:pt idx="2">
                  <c:v>26920</c:v>
                </c:pt>
                <c:pt idx="3">
                  <c:v>2240</c:v>
                </c:pt>
                <c:pt idx="4">
                  <c:v>28645</c:v>
                </c:pt>
                <c:pt idx="5">
                  <c:v>15870</c:v>
                </c:pt>
                <c:pt idx="6">
                  <c:v>29606</c:v>
                </c:pt>
                <c:pt idx="7">
                  <c:v>12687</c:v>
                </c:pt>
                <c:pt idx="8">
                  <c:v>21764</c:v>
                </c:pt>
              </c:numCache>
            </c:numRef>
          </c:val>
        </c:ser>
        <c:ser>
          <c:idx val="1"/>
          <c:order val="1"/>
          <c:tx>
            <c:strRef>
              <c:f>'Analyse Région-Bénéficiaires.'!$C$23</c:f>
              <c:strCache>
                <c:ptCount val="1"/>
                <c:pt idx="0">
                  <c:v># PDI assistées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</c:spPr>
          <c:invertIfNegative val="0"/>
          <c:dLbls>
            <c:dLbl>
              <c:idx val="3"/>
              <c:layout>
                <c:manualLayout>
                  <c:x val="-5.5096410765289152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3.6730940510192778E-3"/>
                  <c:y val="7.920790432516738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3.6730940510192778E-3"/>
                  <c:y val="7.920790432516738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-1.8365470255096387E-3"/>
                  <c:y val="2.37623712975502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0"/>
                  <c:y val="7.920790432516738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700" b="1"/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'Analyse Région-Bénéficiaires.'!$A$24:$A$32</c:f>
              <c:strCache>
                <c:ptCount val="9"/>
                <c:pt idx="0">
                  <c:v> Région de  Mopti</c:v>
                </c:pt>
                <c:pt idx="1">
                  <c:v> Région de Bamako</c:v>
                </c:pt>
                <c:pt idx="2">
                  <c:v> Région de Gao</c:v>
                </c:pt>
                <c:pt idx="3">
                  <c:v> Région de Kayes</c:v>
                </c:pt>
                <c:pt idx="4">
                  <c:v> Région de Kidal</c:v>
                </c:pt>
                <c:pt idx="5">
                  <c:v> Région de Koulikoro</c:v>
                </c:pt>
                <c:pt idx="6">
                  <c:v> Région de Ségou</c:v>
                </c:pt>
                <c:pt idx="7">
                  <c:v> Région de Sikasso</c:v>
                </c:pt>
                <c:pt idx="8">
                  <c:v> Région de Tombouctou</c:v>
                </c:pt>
              </c:strCache>
            </c:strRef>
          </c:cat>
          <c:val>
            <c:numRef>
              <c:f>'Analyse Région-Bénéficiaires.'!$C$24:$C$32</c:f>
              <c:numCache>
                <c:formatCode>General</c:formatCode>
                <c:ptCount val="9"/>
                <c:pt idx="0">
                  <c:v>64509</c:v>
                </c:pt>
                <c:pt idx="1">
                  <c:v>7749</c:v>
                </c:pt>
                <c:pt idx="2">
                  <c:v>8325</c:v>
                </c:pt>
                <c:pt idx="3">
                  <c:v>594</c:v>
                </c:pt>
                <c:pt idx="4">
                  <c:v>2577</c:v>
                </c:pt>
                <c:pt idx="5">
                  <c:v>834</c:v>
                </c:pt>
                <c:pt idx="6">
                  <c:v>5112</c:v>
                </c:pt>
                <c:pt idx="7">
                  <c:v>954</c:v>
                </c:pt>
                <c:pt idx="8">
                  <c:v>9000</c:v>
                </c:pt>
              </c:numCache>
            </c:numRef>
          </c:val>
        </c:ser>
        <c:ser>
          <c:idx val="2"/>
          <c:order val="2"/>
          <c:tx>
            <c:strRef>
              <c:f>'Analyse Région-Bénéficiaires.'!$D$23</c:f>
              <c:strCache>
                <c:ptCount val="1"/>
                <c:pt idx="0">
                  <c:v> # Familles recensées</c:v>
                </c:pt>
              </c:strCache>
            </c:strRef>
          </c:tx>
          <c:invertIfNegative val="0"/>
          <c:dLbls>
            <c:dLbl>
              <c:idx val="1"/>
              <c:layout>
                <c:manualLayout>
                  <c:x val="-1.8365470255096387E-3"/>
                  <c:y val="1.84818443425390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5.5096410765289152E-3"/>
                  <c:y val="2.640263477505579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1.8365470255096387E-3"/>
                  <c:y val="-5.280526955011159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-5.5096410765289152E-3"/>
                  <c:y val="-1.58415808650334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0"/>
                  <c:y val="-5.280526955011159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1.8365470255096387E-3"/>
                  <c:y val="1.58415808650334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700" b="1"/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'Analyse Région-Bénéficiaires.'!$A$24:$A$32</c:f>
              <c:strCache>
                <c:ptCount val="9"/>
                <c:pt idx="0">
                  <c:v> Région de  Mopti</c:v>
                </c:pt>
                <c:pt idx="1">
                  <c:v> Région de Bamako</c:v>
                </c:pt>
                <c:pt idx="2">
                  <c:v> Région de Gao</c:v>
                </c:pt>
                <c:pt idx="3">
                  <c:v> Région de Kayes</c:v>
                </c:pt>
                <c:pt idx="4">
                  <c:v> Région de Kidal</c:v>
                </c:pt>
                <c:pt idx="5">
                  <c:v> Région de Koulikoro</c:v>
                </c:pt>
                <c:pt idx="6">
                  <c:v> Région de Ségou</c:v>
                </c:pt>
                <c:pt idx="7">
                  <c:v> Région de Sikasso</c:v>
                </c:pt>
                <c:pt idx="8">
                  <c:v> Région de Tombouctou</c:v>
                </c:pt>
              </c:strCache>
            </c:strRef>
          </c:cat>
          <c:val>
            <c:numRef>
              <c:f>'Analyse Région-Bénéficiaires.'!$D$24:$D$32</c:f>
              <c:numCache>
                <c:formatCode>General</c:formatCode>
                <c:ptCount val="9"/>
                <c:pt idx="0">
                  <c:v>6162</c:v>
                </c:pt>
                <c:pt idx="1">
                  <c:v>6528</c:v>
                </c:pt>
                <c:pt idx="2">
                  <c:v>3255</c:v>
                </c:pt>
                <c:pt idx="3">
                  <c:v>345</c:v>
                </c:pt>
                <c:pt idx="4">
                  <c:v>5729</c:v>
                </c:pt>
                <c:pt idx="5">
                  <c:v>2011</c:v>
                </c:pt>
                <c:pt idx="6">
                  <c:v>4555</c:v>
                </c:pt>
                <c:pt idx="7">
                  <c:v>1952</c:v>
                </c:pt>
                <c:pt idx="8">
                  <c:v>3348</c:v>
                </c:pt>
              </c:numCache>
            </c:numRef>
          </c:val>
        </c:ser>
        <c:ser>
          <c:idx val="0"/>
          <c:order val="3"/>
          <c:tx>
            <c:strRef>
              <c:f>'Analyse Région-Bénéficiaires.'!$B$23</c:f>
              <c:strCache>
                <c:ptCount val="1"/>
                <c:pt idx="0">
                  <c:v> # Familles assistées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9.182735127548195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3.6730940510192778E-3"/>
                  <c:y val="7.920790432516738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3.6730940510192778E-3"/>
                  <c:y val="7.920790432516738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7.3461881020385538E-3"/>
                  <c:y val="1.05610539100223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-7.3461881020385538E-3"/>
                  <c:y val="1.84818443425390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-5.5096410765289152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-1.8365470255096387E-3"/>
                  <c:y val="2.37623712975502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700" b="1"/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'Analyse Région-Bénéficiaires.'!$A$24:$A$32</c:f>
              <c:strCache>
                <c:ptCount val="9"/>
                <c:pt idx="0">
                  <c:v> Région de  Mopti</c:v>
                </c:pt>
                <c:pt idx="1">
                  <c:v> Région de Bamako</c:v>
                </c:pt>
                <c:pt idx="2">
                  <c:v> Région de Gao</c:v>
                </c:pt>
                <c:pt idx="3">
                  <c:v> Région de Kayes</c:v>
                </c:pt>
                <c:pt idx="4">
                  <c:v> Région de Kidal</c:v>
                </c:pt>
                <c:pt idx="5">
                  <c:v> Région de Koulikoro</c:v>
                </c:pt>
                <c:pt idx="6">
                  <c:v> Région de Ségou</c:v>
                </c:pt>
                <c:pt idx="7">
                  <c:v> Région de Sikasso</c:v>
                </c:pt>
                <c:pt idx="8">
                  <c:v> Région de Tombouctou</c:v>
                </c:pt>
              </c:strCache>
            </c:strRef>
          </c:cat>
          <c:val>
            <c:numRef>
              <c:f>'Analyse Région-Bénéficiaires.'!$B$24:$B$32</c:f>
              <c:numCache>
                <c:formatCode>General</c:formatCode>
                <c:ptCount val="9"/>
                <c:pt idx="0">
                  <c:v>9010</c:v>
                </c:pt>
                <c:pt idx="1">
                  <c:v>1087</c:v>
                </c:pt>
                <c:pt idx="2">
                  <c:v>1375</c:v>
                </c:pt>
                <c:pt idx="3">
                  <c:v>99</c:v>
                </c:pt>
                <c:pt idx="4">
                  <c:v>411</c:v>
                </c:pt>
                <c:pt idx="5">
                  <c:v>291</c:v>
                </c:pt>
                <c:pt idx="6">
                  <c:v>852</c:v>
                </c:pt>
                <c:pt idx="7">
                  <c:v>159</c:v>
                </c:pt>
                <c:pt idx="8">
                  <c:v>1500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shape val="box"/>
        <c:axId val="122852480"/>
        <c:axId val="122854016"/>
        <c:axId val="0"/>
      </c:bar3DChart>
      <c:catAx>
        <c:axId val="122852480"/>
        <c:scaling>
          <c:orientation val="minMax"/>
        </c:scaling>
        <c:delete val="0"/>
        <c:axPos val="b"/>
        <c:majorTickMark val="none"/>
        <c:minorTickMark val="none"/>
        <c:tickLblPos val="nextTo"/>
        <c:crossAx val="122854016"/>
        <c:crosses val="autoZero"/>
        <c:auto val="1"/>
        <c:lblAlgn val="ctr"/>
        <c:lblOffset val="100"/>
        <c:noMultiLvlLbl val="0"/>
      </c:catAx>
      <c:valAx>
        <c:axId val="122854016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one"/>
        <c:crossAx val="12285248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13181678896093521"/>
          <c:y val="0.90473160162540445"/>
          <c:w val="0.74003951612914887"/>
          <c:h val="4.7743655779495173E-2"/>
        </c:manualLayout>
      </c:layout>
      <c:overlay val="0"/>
    </c:legend>
    <c:plotVisOnly val="1"/>
    <c:dispBlanksAs val="gap"/>
    <c:showDLblsOverMax val="0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266139</xdr:colOff>
      <xdr:row>0</xdr:row>
      <xdr:rowOff>44823</xdr:rowOff>
    </xdr:from>
    <xdr:to>
      <xdr:col>2</xdr:col>
      <xdr:colOff>637614</xdr:colOff>
      <xdr:row>1</xdr:row>
      <xdr:rowOff>268940</xdr:rowOff>
    </xdr:to>
    <xdr:pic>
      <xdr:nvPicPr>
        <xdr:cNvPr id="6" name="Image 1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57374" y="44823"/>
          <a:ext cx="371475" cy="380999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266139</xdr:colOff>
      <xdr:row>0</xdr:row>
      <xdr:rowOff>44823</xdr:rowOff>
    </xdr:from>
    <xdr:to>
      <xdr:col>2</xdr:col>
      <xdr:colOff>637614</xdr:colOff>
      <xdr:row>1</xdr:row>
      <xdr:rowOff>122516</xdr:rowOff>
    </xdr:to>
    <xdr:pic>
      <xdr:nvPicPr>
        <xdr:cNvPr id="4" name="Image 1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56814" y="44823"/>
          <a:ext cx="371475" cy="386042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95251</xdr:colOff>
      <xdr:row>0</xdr:row>
      <xdr:rowOff>28575</xdr:rowOff>
    </xdr:from>
    <xdr:to>
      <xdr:col>1</xdr:col>
      <xdr:colOff>389965</xdr:colOff>
      <xdr:row>1</xdr:row>
      <xdr:rowOff>174252</xdr:rowOff>
    </xdr:to>
    <xdr:pic>
      <xdr:nvPicPr>
        <xdr:cNvPr id="2" name="Image 1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14526" y="28575"/>
          <a:ext cx="294714" cy="336177"/>
        </a:xfrm>
        <a:prstGeom prst="rect">
          <a:avLst/>
        </a:prstGeom>
        <a:noFill/>
      </xdr:spPr>
    </xdr:pic>
    <xdr:clientData/>
  </xdr:twoCellAnchor>
  <xdr:twoCellAnchor>
    <xdr:from>
      <xdr:col>0</xdr:col>
      <xdr:colOff>179916</xdr:colOff>
      <xdr:row>40</xdr:row>
      <xdr:rowOff>116417</xdr:rowOff>
    </xdr:from>
    <xdr:to>
      <xdr:col>19</xdr:col>
      <xdr:colOff>0</xdr:colOff>
      <xdr:row>73</xdr:row>
      <xdr:rowOff>179917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57151</xdr:colOff>
      <xdr:row>0</xdr:row>
      <xdr:rowOff>35298</xdr:rowOff>
    </xdr:from>
    <xdr:to>
      <xdr:col>2</xdr:col>
      <xdr:colOff>351865</xdr:colOff>
      <xdr:row>1</xdr:row>
      <xdr:rowOff>180975</xdr:rowOff>
    </xdr:to>
    <xdr:pic>
      <xdr:nvPicPr>
        <xdr:cNvPr id="2" name="Image 1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8351" y="35298"/>
          <a:ext cx="294714" cy="336177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31</xdr:row>
      <xdr:rowOff>77931</xdr:rowOff>
    </xdr:from>
    <xdr:to>
      <xdr:col>18</xdr:col>
      <xdr:colOff>672353</xdr:colOff>
      <xdr:row>59</xdr:row>
      <xdr:rowOff>155863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238125</xdr:colOff>
      <xdr:row>23</xdr:row>
      <xdr:rowOff>190499</xdr:rowOff>
    </xdr:from>
    <xdr:to>
      <xdr:col>20</xdr:col>
      <xdr:colOff>266700</xdr:colOff>
      <xdr:row>45</xdr:row>
      <xdr:rowOff>180974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95251</xdr:colOff>
      <xdr:row>0</xdr:row>
      <xdr:rowOff>28575</xdr:rowOff>
    </xdr:from>
    <xdr:to>
      <xdr:col>1</xdr:col>
      <xdr:colOff>389965</xdr:colOff>
      <xdr:row>1</xdr:row>
      <xdr:rowOff>174252</xdr:rowOff>
    </xdr:to>
    <xdr:pic>
      <xdr:nvPicPr>
        <xdr:cNvPr id="3" name="Image 18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14526" y="28575"/>
          <a:ext cx="294714" cy="336177"/>
        </a:xfrm>
        <a:prstGeom prst="rect">
          <a:avLst/>
        </a:prstGeom>
        <a:noFill/>
      </xdr:spPr>
    </xdr:pic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0.32078</cdr:x>
      <cdr:y>0.01182</cdr:y>
    </cdr:from>
    <cdr:to>
      <cdr:x>0.70355</cdr:x>
      <cdr:y>0.11111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2154084" y="39519"/>
          <a:ext cx="2570316" cy="33195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fr-FR" sz="1100" b="1"/>
            <a:t>Nombre</a:t>
          </a:r>
          <a:r>
            <a:rPr lang="fr-FR" sz="1100" b="1" baseline="0"/>
            <a:t> de</a:t>
          </a:r>
          <a:r>
            <a:rPr lang="fr-FR" sz="1100" b="1"/>
            <a:t> bénéficiaires par agence</a:t>
          </a:r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419101</xdr:colOff>
      <xdr:row>0</xdr:row>
      <xdr:rowOff>38100</xdr:rowOff>
    </xdr:from>
    <xdr:to>
      <xdr:col>1</xdr:col>
      <xdr:colOff>713815</xdr:colOff>
      <xdr:row>1</xdr:row>
      <xdr:rowOff>183777</xdr:rowOff>
    </xdr:to>
    <xdr:pic>
      <xdr:nvPicPr>
        <xdr:cNvPr id="2" name="Image 1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01" y="38100"/>
          <a:ext cx="294714" cy="336177"/>
        </a:xfrm>
        <a:prstGeom prst="rect">
          <a:avLst/>
        </a:prstGeom>
        <a:noFill/>
      </xdr:spPr>
    </xdr:pic>
    <xdr:clientData/>
  </xdr:twoCellAnchor>
  <xdr:twoCellAnchor>
    <xdr:from>
      <xdr:col>8</xdr:col>
      <xdr:colOff>95249</xdr:colOff>
      <xdr:row>0</xdr:row>
      <xdr:rowOff>0</xdr:rowOff>
    </xdr:from>
    <xdr:to>
      <xdr:col>37</xdr:col>
      <xdr:colOff>9525</xdr:colOff>
      <xdr:row>40</xdr:row>
      <xdr:rowOff>38101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ambou/Downloads/Shelter&amp;NFI%20Cluster_Base%20Principale_11022013%20comments%20laurent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aurent/AppData/Local/Microsoft/Windows/Temporary%20Internet%20Files/Content.IE5/KYL5199I/Shelter&amp;NFI%20Cluster_Base%20Principale_12022013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jusselme/AppData/Local/Microsoft/Windows/Temporary%20Internet%20Files/Content.Outlook/H8W1Y8FE/Stock%20%20de%20Contingence%20DRAFT%2005-02-201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yse 1"/>
      <sheetName val="Analyse 2"/>
      <sheetName val="Distribution Abris&amp;NFIs"/>
      <sheetName val="Stock de Contingence"/>
      <sheetName val="Control"/>
      <sheetName val="Pcode"/>
    </sheetNames>
    <sheetDataSet>
      <sheetData sheetId="0" refreshError="1"/>
      <sheetData sheetId="1" refreshError="1"/>
      <sheetData sheetId="2" refreshError="1"/>
      <sheetData sheetId="3" refreshError="1"/>
      <sheetData sheetId="4">
        <row r="2">
          <cell r="A2" t="str">
            <v>ACDI</v>
          </cell>
          <cell r="B2" t="str">
            <v>CASH</v>
          </cell>
          <cell r="C2" t="str">
            <v>PDI</v>
          </cell>
        </row>
        <row r="3">
          <cell r="A3" t="str">
            <v>ACF</v>
          </cell>
          <cell r="B3" t="str">
            <v>NFI</v>
          </cell>
          <cell r="C3" t="str">
            <v>Population générale</v>
          </cell>
        </row>
        <row r="4">
          <cell r="A4" t="str">
            <v>ACT Alliance</v>
          </cell>
        </row>
        <row r="5">
          <cell r="A5" t="str">
            <v>ACTDH</v>
          </cell>
        </row>
        <row r="6">
          <cell r="A6" t="str">
            <v>ACTED</v>
          </cell>
        </row>
        <row r="7">
          <cell r="A7" t="str">
            <v>ACTED/American Red Cross</v>
          </cell>
        </row>
        <row r="8">
          <cell r="A8" t="str">
            <v>ACTION aid</v>
          </cell>
        </row>
        <row r="9">
          <cell r="A9" t="str">
            <v>Acts of Mercy</v>
          </cell>
        </row>
        <row r="10">
          <cell r="A10" t="str">
            <v>ADRA Europe network</v>
          </cell>
        </row>
        <row r="11">
          <cell r="A11" t="str">
            <v>ADRA Intl USA</v>
          </cell>
        </row>
        <row r="12">
          <cell r="A12" t="str">
            <v>AFSC</v>
          </cell>
        </row>
        <row r="13">
          <cell r="A13" t="str">
            <v>ALIMA</v>
          </cell>
        </row>
        <row r="14">
          <cell r="A14" t="str">
            <v>Amecom</v>
          </cell>
        </row>
        <row r="15">
          <cell r="A15" t="str">
            <v>America Continental</v>
          </cell>
        </row>
        <row r="16">
          <cell r="A16" t="str">
            <v>American Red Cross</v>
          </cell>
        </row>
        <row r="17">
          <cell r="A17" t="str">
            <v>American Rescue Com</v>
          </cell>
        </row>
        <row r="18">
          <cell r="A18" t="str">
            <v>AMURT</v>
          </cell>
        </row>
        <row r="19">
          <cell r="A19" t="str">
            <v>Aprodema</v>
          </cell>
        </row>
        <row r="20">
          <cell r="A20" t="str">
            <v>APY</v>
          </cell>
        </row>
        <row r="21">
          <cell r="A21" t="str">
            <v>ARC</v>
          </cell>
        </row>
        <row r="22">
          <cell r="A22" t="str">
            <v>Architecte de l'Urgence</v>
          </cell>
        </row>
        <row r="23">
          <cell r="A23" t="str">
            <v>Architecte Earthbag Shelters</v>
          </cell>
        </row>
        <row r="24">
          <cell r="A24" t="str">
            <v>ASB</v>
          </cell>
        </row>
        <row r="25">
          <cell r="A25" t="str">
            <v xml:space="preserve">ASF </v>
          </cell>
        </row>
        <row r="26">
          <cell r="A26" t="str">
            <v>Asiacion de Immigrants</v>
          </cell>
        </row>
        <row r="27">
          <cell r="A27" t="str">
            <v>AVSF</v>
          </cell>
        </row>
        <row r="28">
          <cell r="A28" t="str">
            <v>AVSI</v>
          </cell>
        </row>
        <row r="29">
          <cell r="A29" t="str">
            <v>BID/FAES/Food for the Poor</v>
          </cell>
        </row>
        <row r="30">
          <cell r="A30" t="str">
            <v>BRAC</v>
          </cell>
        </row>
        <row r="31">
          <cell r="A31" t="str">
            <v>Build Change</v>
          </cell>
        </row>
        <row r="32">
          <cell r="A32" t="str">
            <v>Canadian Red Cross</v>
          </cell>
        </row>
        <row r="33">
          <cell r="A33" t="str">
            <v>CARE</v>
          </cell>
        </row>
        <row r="34">
          <cell r="A34" t="str">
            <v>CARE/Cordaid</v>
          </cell>
        </row>
        <row r="35">
          <cell r="A35" t="str">
            <v>Caritas</v>
          </cell>
        </row>
        <row r="36">
          <cell r="A36" t="str">
            <v>Caritas Allemagne</v>
          </cell>
        </row>
        <row r="37">
          <cell r="A37" t="str">
            <v>Caritas Austriche</v>
          </cell>
        </row>
        <row r="38">
          <cell r="A38" t="str">
            <v>Caritas Swiss</v>
          </cell>
        </row>
        <row r="39">
          <cell r="A39" t="str">
            <v>CCCPC</v>
          </cell>
        </row>
        <row r="40">
          <cell r="A40" t="str">
            <v>CHF</v>
          </cell>
        </row>
        <row r="41">
          <cell r="A41" t="str">
            <v>Christian AID</v>
          </cell>
        </row>
        <row r="42">
          <cell r="A42" t="str">
            <v>Church World Service</v>
          </cell>
        </row>
        <row r="43">
          <cell r="A43" t="str">
            <v>CICR</v>
          </cell>
        </row>
        <row r="44">
          <cell r="A44" t="str">
            <v>Concern Worlwide</v>
          </cell>
        </row>
        <row r="45">
          <cell r="A45" t="str">
            <v>Cooperation néelandaise</v>
          </cell>
        </row>
        <row r="46">
          <cell r="A46" t="str">
            <v>COOPI</v>
          </cell>
        </row>
        <row r="47">
          <cell r="A47" t="str">
            <v>CordAid</v>
          </cell>
        </row>
        <row r="48">
          <cell r="A48" t="str">
            <v>Croix Rouge Belgique</v>
          </cell>
        </row>
        <row r="49">
          <cell r="A49" t="str">
            <v>Croix Rouge Danemark/Suisse</v>
          </cell>
        </row>
        <row r="50">
          <cell r="A50" t="str">
            <v>Croix Rouge Mali</v>
          </cell>
        </row>
        <row r="51">
          <cell r="A51" t="str">
            <v>CROSE</v>
          </cell>
        </row>
        <row r="52">
          <cell r="A52" t="str">
            <v>Cross International</v>
          </cell>
        </row>
        <row r="53">
          <cell r="A53" t="str">
            <v>CRS</v>
          </cell>
        </row>
        <row r="54">
          <cell r="A54" t="str">
            <v>CRS/Caritas</v>
          </cell>
        </row>
        <row r="55">
          <cell r="A55" t="str">
            <v>CRWRC</v>
          </cell>
        </row>
        <row r="56">
          <cell r="A56" t="str">
            <v>Danish People's Aid</v>
          </cell>
        </row>
        <row r="57">
          <cell r="A57" t="str">
            <v>Developpement et Paix/ITECA</v>
          </cell>
        </row>
        <row r="58">
          <cell r="A58" t="str">
            <v>DFID</v>
          </cell>
        </row>
        <row r="59">
          <cell r="A59" t="str">
            <v>DGPC</v>
          </cell>
        </row>
        <row r="60">
          <cell r="A60" t="str">
            <v>Diakonie</v>
          </cell>
        </row>
        <row r="61">
          <cell r="A61" t="str">
            <v>DNPC</v>
          </cell>
        </row>
        <row r="62">
          <cell r="A62" t="str">
            <v>DNPC Bamako</v>
          </cell>
        </row>
        <row r="63">
          <cell r="A63" t="str">
            <v>ECHO</v>
          </cell>
        </row>
        <row r="64">
          <cell r="A64" t="str">
            <v>Eglise Luthérienne</v>
          </cell>
        </row>
        <row r="65">
          <cell r="A65" t="str">
            <v>Emergency Group</v>
          </cell>
        </row>
        <row r="66">
          <cell r="A66" t="str">
            <v>European Civil Protection Team</v>
          </cell>
        </row>
        <row r="67">
          <cell r="A67" t="str">
            <v>Fanm deside</v>
          </cell>
        </row>
        <row r="68">
          <cell r="A68" t="str">
            <v>FAO</v>
          </cell>
        </row>
        <row r="69">
          <cell r="A69" t="str">
            <v>Feed the Children</v>
          </cell>
        </row>
        <row r="70">
          <cell r="A70" t="str">
            <v>FEMA</v>
          </cell>
        </row>
        <row r="71">
          <cell r="A71" t="str">
            <v>Food for the Hungry</v>
          </cell>
        </row>
        <row r="72">
          <cell r="A72" t="str">
            <v>Food for the poor</v>
          </cell>
        </row>
        <row r="73">
          <cell r="A73" t="str">
            <v>GAA/WHH</v>
          </cell>
        </row>
        <row r="74">
          <cell r="A74" t="str">
            <v>GIZ</v>
          </cell>
        </row>
        <row r="75">
          <cell r="A75" t="str">
            <v>GOAL</v>
          </cell>
        </row>
        <row r="76">
          <cell r="A76" t="str">
            <v>GoH</v>
          </cell>
        </row>
        <row r="77">
          <cell r="A77" t="str">
            <v>Habitat for Humanity</v>
          </cell>
        </row>
        <row r="78">
          <cell r="A78" t="str">
            <v>Habitat for Humanity / AABMC</v>
          </cell>
        </row>
        <row r="79">
          <cell r="A79" t="str">
            <v>Habitat for Humanity / American Red Cross</v>
          </cell>
        </row>
        <row r="80">
          <cell r="A80" t="str">
            <v>Habitat for Humanity / CHF</v>
          </cell>
        </row>
        <row r="81">
          <cell r="A81" t="str">
            <v>Habitat for Humanity / CRS</v>
          </cell>
        </row>
        <row r="82">
          <cell r="A82" t="str">
            <v>Habitat for Humanity / ERRF</v>
          </cell>
        </row>
        <row r="83">
          <cell r="A83" t="str">
            <v>Handicap International</v>
          </cell>
        </row>
        <row r="84">
          <cell r="A84" t="str">
            <v>Handicap International/American Red Cross</v>
          </cell>
        </row>
        <row r="85">
          <cell r="A85" t="str">
            <v>Handicap International/FDF</v>
          </cell>
        </row>
        <row r="86">
          <cell r="A86" t="str">
            <v>HAVEN</v>
          </cell>
        </row>
        <row r="87">
          <cell r="A87" t="str">
            <v>HAVEN/American Red Cross</v>
          </cell>
        </row>
        <row r="88">
          <cell r="A88" t="str">
            <v>HAVEN/CONCERN</v>
          </cell>
        </row>
        <row r="89">
          <cell r="A89" t="str">
            <v>HAVEN/Fonkoze</v>
          </cell>
        </row>
        <row r="90">
          <cell r="A90" t="str">
            <v>HAVEN/JPHRO</v>
          </cell>
        </row>
        <row r="91">
          <cell r="A91" t="str">
            <v>HAVEN/MCC</v>
          </cell>
        </row>
        <row r="92">
          <cell r="A92" t="str">
            <v>HAVEN/OXFAM</v>
          </cell>
        </row>
        <row r="93">
          <cell r="A93" t="str">
            <v>HAVEN/Plan</v>
          </cell>
        </row>
        <row r="94">
          <cell r="A94" t="str">
            <v>HEKS/EPER</v>
          </cell>
        </row>
        <row r="95">
          <cell r="A95" t="str">
            <v>HELP</v>
          </cell>
        </row>
        <row r="96">
          <cell r="A96" t="str">
            <v>HelpAge</v>
          </cell>
        </row>
        <row r="97">
          <cell r="A97" t="str">
            <v>HELP-Hilfe zur Selbsthilfe e.V</v>
          </cell>
        </row>
        <row r="98">
          <cell r="A98" t="str">
            <v>IEDA Relief</v>
          </cell>
        </row>
        <row r="99">
          <cell r="A99" t="str">
            <v>IFRC</v>
          </cell>
        </row>
        <row r="100">
          <cell r="A100" t="str">
            <v>Intersos</v>
          </cell>
        </row>
        <row r="101">
          <cell r="A101" t="str">
            <v>IOM</v>
          </cell>
        </row>
        <row r="102">
          <cell r="A102" t="str">
            <v>IOM/OTI Project</v>
          </cell>
        </row>
        <row r="103">
          <cell r="A103" t="str">
            <v>IOM/SASH</v>
          </cell>
        </row>
        <row r="104">
          <cell r="A104" t="str">
            <v>IRC</v>
          </cell>
        </row>
        <row r="105">
          <cell r="A105" t="str">
            <v>IRD</v>
          </cell>
        </row>
        <row r="106">
          <cell r="A106" t="str">
            <v>Islamic relief</v>
          </cell>
        </row>
        <row r="107">
          <cell r="A107" t="str">
            <v>Join the Journey</v>
          </cell>
        </row>
        <row r="108">
          <cell r="A108" t="str">
            <v>JP/HRO</v>
          </cell>
        </row>
        <row r="109">
          <cell r="A109" t="str">
            <v>LWF</v>
          </cell>
        </row>
        <row r="110">
          <cell r="A110" t="str">
            <v>M. Action Humanitaire</v>
          </cell>
        </row>
        <row r="111">
          <cell r="A111" t="str">
            <v>Médecin du Monde Belgique</v>
          </cell>
        </row>
        <row r="112">
          <cell r="A112" t="str">
            <v>Médecin du Monde France</v>
          </cell>
        </row>
        <row r="113">
          <cell r="A113" t="str">
            <v>Medair</v>
          </cell>
        </row>
        <row r="114">
          <cell r="A114" t="str">
            <v xml:space="preserve">Mennonites </v>
          </cell>
        </row>
        <row r="115">
          <cell r="A115" t="str">
            <v>Mennonites MCC</v>
          </cell>
        </row>
        <row r="116">
          <cell r="A116" t="str">
            <v>Miripsud</v>
          </cell>
        </row>
        <row r="117">
          <cell r="A117" t="str">
            <v>Mission of Hope Haiti</v>
          </cell>
        </row>
        <row r="118">
          <cell r="A118" t="str">
            <v>MOFKA</v>
          </cell>
        </row>
        <row r="119">
          <cell r="A119" t="str">
            <v>Morrell International Foundation</v>
          </cell>
        </row>
        <row r="120">
          <cell r="A120" t="str">
            <v>MSF F</v>
          </cell>
        </row>
        <row r="121">
          <cell r="A121" t="str">
            <v>MSF FRANCE</v>
          </cell>
        </row>
        <row r="122">
          <cell r="A122" t="str">
            <v>MSF SPAIN</v>
          </cell>
        </row>
        <row r="123">
          <cell r="A123" t="str">
            <v>MSF SWISS</v>
          </cell>
        </row>
        <row r="124">
          <cell r="A124" t="str">
            <v>Nippon International Cooperation</v>
          </cell>
        </row>
        <row r="125">
          <cell r="A125" t="str">
            <v>NRC</v>
          </cell>
        </row>
        <row r="126">
          <cell r="A126" t="str">
            <v>OCHA</v>
          </cell>
        </row>
        <row r="127">
          <cell r="A127" t="str">
            <v>OPREM-F</v>
          </cell>
        </row>
        <row r="128">
          <cell r="A128" t="str">
            <v xml:space="preserve">Organisation multiple </v>
          </cell>
        </row>
        <row r="129">
          <cell r="A129" t="str">
            <v>Other Agencies</v>
          </cell>
        </row>
        <row r="130">
          <cell r="A130" t="str">
            <v>Oxfam America</v>
          </cell>
        </row>
        <row r="131">
          <cell r="A131" t="str">
            <v>Oxfam GB</v>
          </cell>
        </row>
        <row r="132">
          <cell r="A132" t="str">
            <v>Oxfam Intermoun</v>
          </cell>
        </row>
        <row r="133">
          <cell r="A133" t="str">
            <v>Oxfam Quebec</v>
          </cell>
        </row>
        <row r="134">
          <cell r="A134" t="str">
            <v>PacBell</v>
          </cell>
        </row>
        <row r="135">
          <cell r="A135" t="str">
            <v>PADF</v>
          </cell>
        </row>
        <row r="136">
          <cell r="A136" t="str">
            <v>PADF/American Red Cross</v>
          </cell>
        </row>
        <row r="137">
          <cell r="A137" t="str">
            <v>PAM</v>
          </cell>
        </row>
        <row r="138">
          <cell r="A138" t="str">
            <v>Peace With Japan</v>
          </cell>
        </row>
        <row r="139">
          <cell r="A139" t="str">
            <v>People in Need</v>
          </cell>
        </row>
        <row r="140">
          <cell r="A140" t="str">
            <v>Philippine National Red Cross</v>
          </cell>
        </row>
        <row r="141">
          <cell r="A141" t="str">
            <v>PIH</v>
          </cell>
        </row>
        <row r="142">
          <cell r="A142" t="str">
            <v>Plan Mali</v>
          </cell>
        </row>
        <row r="143">
          <cell r="A143" t="str">
            <v>Planète Urgence</v>
          </cell>
        </row>
        <row r="144">
          <cell r="A144" t="str">
            <v>Premiere Urgence</v>
          </cell>
        </row>
        <row r="145">
          <cell r="A145" t="str">
            <v>Project Concern</v>
          </cell>
        </row>
        <row r="146">
          <cell r="A146" t="str">
            <v>Red Cross and Red Crescent Societies</v>
          </cell>
        </row>
        <row r="147">
          <cell r="A147" t="str">
            <v>Red Cross and Red Crescent Societies/ British Red Cross</v>
          </cell>
        </row>
        <row r="148">
          <cell r="A148" t="str">
            <v>Red Cross and Red Crescent Societies/ Canadian Red Cross</v>
          </cell>
        </row>
        <row r="149">
          <cell r="A149" t="str">
            <v>Red Cross and Red Crescent Societies/ French Red Cross</v>
          </cell>
        </row>
        <row r="150">
          <cell r="A150" t="str">
            <v>Red Cross and Red Crescent Societies/ German Red cross/Austrian Red Cross</v>
          </cell>
        </row>
        <row r="151">
          <cell r="A151" t="str">
            <v xml:space="preserve">Red Cross and Red Crescent Societies/ Haitian Red Cross </v>
          </cell>
        </row>
        <row r="152">
          <cell r="A152" t="str">
            <v>Red Cross and Red Crescent Societies/ Italian/ Haitian Red Cross</v>
          </cell>
        </row>
        <row r="153">
          <cell r="A153" t="str">
            <v>Red Cross and Red Crescent Societies/ Netherlands Red Cross</v>
          </cell>
        </row>
        <row r="154">
          <cell r="A154" t="str">
            <v>Red Cross and Red Crescent Societies/ Norwegian Red Cross</v>
          </cell>
        </row>
        <row r="155">
          <cell r="A155" t="str">
            <v>Red Cross and Red Crescent Societies/ Spanish Red Cross</v>
          </cell>
        </row>
        <row r="156">
          <cell r="A156" t="str">
            <v>Red Cross and Red Crescent Societies/ Spanish Red Cross/ Haitian Red Cross</v>
          </cell>
        </row>
        <row r="157">
          <cell r="A157" t="str">
            <v>Red Cross and Red Crescent Societies/ Swiss Red Cross</v>
          </cell>
        </row>
        <row r="158">
          <cell r="A158" t="str">
            <v>Relief International</v>
          </cell>
        </row>
        <row r="159">
          <cell r="A159" t="str">
            <v>Salvation Army</v>
          </cell>
        </row>
        <row r="160">
          <cell r="A160" t="str">
            <v>Samaritan's Purse</v>
          </cell>
        </row>
        <row r="161">
          <cell r="A161" t="str">
            <v>SASH</v>
          </cell>
        </row>
        <row r="162">
          <cell r="A162" t="str">
            <v>Save the Children</v>
          </cell>
        </row>
        <row r="163">
          <cell r="A163" t="str">
            <v>Secours Catholique</v>
          </cell>
        </row>
        <row r="164">
          <cell r="A164" t="str">
            <v>Secours Islamique France</v>
          </cell>
        </row>
        <row r="165">
          <cell r="A165" t="str">
            <v>SHELTER BOX</v>
          </cell>
        </row>
        <row r="166">
          <cell r="A166" t="str">
            <v>SOS Attitude</v>
          </cell>
        </row>
        <row r="167">
          <cell r="A167" t="str">
            <v>TearFund</v>
          </cell>
        </row>
        <row r="168">
          <cell r="A168" t="str">
            <v>TECHO</v>
          </cell>
        </row>
        <row r="169">
          <cell r="A169" t="str">
            <v>Terre des hommes</v>
          </cell>
        </row>
        <row r="170">
          <cell r="A170" t="str">
            <v>TWP</v>
          </cell>
        </row>
        <row r="171">
          <cell r="A171" t="str">
            <v>UJDHRD</v>
          </cell>
        </row>
        <row r="172">
          <cell r="A172" t="str">
            <v>UMCOR</v>
          </cell>
        </row>
        <row r="173">
          <cell r="A173" t="str">
            <v>UNDP</v>
          </cell>
        </row>
        <row r="174">
          <cell r="A174" t="str">
            <v>UNHCR</v>
          </cell>
        </row>
        <row r="175">
          <cell r="A175" t="str">
            <v>UNICEF</v>
          </cell>
        </row>
        <row r="176">
          <cell r="A176" t="str">
            <v>UNOPS</v>
          </cell>
        </row>
        <row r="177">
          <cell r="A177" t="str">
            <v>UNOPS/American Red Cross</v>
          </cell>
        </row>
        <row r="178">
          <cell r="A178" t="str">
            <v>UNOPS/Islamic Relief</v>
          </cell>
        </row>
        <row r="179">
          <cell r="A179" t="str">
            <v>US Army</v>
          </cell>
        </row>
        <row r="180">
          <cell r="A180" t="str">
            <v>US Southern Command</v>
          </cell>
        </row>
        <row r="181">
          <cell r="A181" t="str">
            <v>USA Red Cross</v>
          </cell>
        </row>
        <row r="182">
          <cell r="A182" t="str">
            <v>USAID</v>
          </cell>
        </row>
        <row r="183">
          <cell r="A183" t="str">
            <v>USAID/CEMEX</v>
          </cell>
        </row>
        <row r="184">
          <cell r="A184" t="str">
            <v>USAID/Thor Construction</v>
          </cell>
        </row>
        <row r="185">
          <cell r="A185" t="str">
            <v>Venezuelian Army</v>
          </cell>
        </row>
        <row r="186">
          <cell r="A186" t="str">
            <v>Welthungerhilfe</v>
          </cell>
        </row>
        <row r="187">
          <cell r="A187" t="str">
            <v>WFP</v>
          </cell>
        </row>
        <row r="188">
          <cell r="A188" t="str">
            <v>WHO</v>
          </cell>
        </row>
        <row r="189">
          <cell r="A189" t="str">
            <v>World Concern</v>
          </cell>
        </row>
        <row r="190">
          <cell r="A190" t="str">
            <v>World Relief Haiti</v>
          </cell>
        </row>
        <row r="191">
          <cell r="A191" t="str">
            <v>World Vision International</v>
          </cell>
        </row>
      </sheetData>
      <sheetData sheetId="5">
        <row r="2">
          <cell r="A2" t="str">
            <v xml:space="preserve"> Région de Bamako</v>
          </cell>
        </row>
        <row r="3">
          <cell r="A3" t="str">
            <v xml:space="preserve"> Région de Kayes</v>
          </cell>
        </row>
        <row r="4">
          <cell r="A4" t="str">
            <v xml:space="preserve"> Région de Koulikoro</v>
          </cell>
        </row>
        <row r="5">
          <cell r="A5" t="str">
            <v xml:space="preserve"> Région de Sikasso</v>
          </cell>
        </row>
        <row r="6">
          <cell r="A6" t="str">
            <v xml:space="preserve"> Région de Ségou</v>
          </cell>
        </row>
        <row r="7">
          <cell r="A7" t="str">
            <v xml:space="preserve"> Région de  Mopti</v>
          </cell>
        </row>
        <row r="8">
          <cell r="A8" t="str">
            <v xml:space="preserve"> Région de Tombouctou</v>
          </cell>
        </row>
        <row r="9">
          <cell r="A9" t="str">
            <v xml:space="preserve"> Région de Gao</v>
          </cell>
        </row>
        <row r="10">
          <cell r="A10" t="str">
            <v xml:space="preserve"> Région de Kidal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yse 1- # NFIs distribuées"/>
      <sheetName val="Analyse 2-# NFIs dist. par REG."/>
      <sheetName val="Analyse 3- # Bénéf. par COM."/>
      <sheetName val="Distribution Abris&amp;NFIs"/>
      <sheetName val="Stock de Contingence"/>
      <sheetName val="Control"/>
      <sheetName val="Pcode"/>
      <sheetName val="Composition des kits cuisine"/>
      <sheetName val="Analyse 2-PivotTable REG.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A2" t="str">
            <v>ACDI</v>
          </cell>
          <cell r="B2" t="str">
            <v>CASH</v>
          </cell>
          <cell r="C2" t="str">
            <v>PDI</v>
          </cell>
        </row>
        <row r="3">
          <cell r="A3" t="str">
            <v>ACF</v>
          </cell>
          <cell r="B3" t="str">
            <v>NFI</v>
          </cell>
          <cell r="C3" t="str">
            <v>Population générale</v>
          </cell>
        </row>
        <row r="4">
          <cell r="A4" t="str">
            <v>ACT Alliance</v>
          </cell>
        </row>
        <row r="5">
          <cell r="A5" t="str">
            <v>ACTDH</v>
          </cell>
        </row>
        <row r="6">
          <cell r="A6" t="str">
            <v>ACTED</v>
          </cell>
        </row>
        <row r="7">
          <cell r="A7" t="str">
            <v>ACTED/American Red Cross</v>
          </cell>
        </row>
        <row r="8">
          <cell r="A8" t="str">
            <v>ACTION aid</v>
          </cell>
        </row>
        <row r="9">
          <cell r="A9" t="str">
            <v>Acts of Mercy</v>
          </cell>
        </row>
        <row r="10">
          <cell r="A10" t="str">
            <v>ADRA Europe network</v>
          </cell>
        </row>
        <row r="11">
          <cell r="A11" t="str">
            <v>ADRA Intl USA</v>
          </cell>
        </row>
        <row r="12">
          <cell r="A12" t="str">
            <v>AFSC</v>
          </cell>
        </row>
        <row r="13">
          <cell r="A13" t="str">
            <v>ALIMA</v>
          </cell>
        </row>
        <row r="14">
          <cell r="A14" t="str">
            <v>Amecom</v>
          </cell>
        </row>
        <row r="15">
          <cell r="A15" t="str">
            <v>America Continental</v>
          </cell>
        </row>
        <row r="16">
          <cell r="A16" t="str">
            <v>American Red Cross</v>
          </cell>
        </row>
        <row r="17">
          <cell r="A17" t="str">
            <v>American Rescue Com</v>
          </cell>
        </row>
        <row r="18">
          <cell r="A18" t="str">
            <v>AMURT</v>
          </cell>
        </row>
        <row r="19">
          <cell r="A19" t="str">
            <v>Aprodema</v>
          </cell>
        </row>
        <row r="20">
          <cell r="A20" t="str">
            <v>APY</v>
          </cell>
        </row>
        <row r="21">
          <cell r="A21" t="str">
            <v>ARC</v>
          </cell>
        </row>
        <row r="22">
          <cell r="A22" t="str">
            <v>Architecte de l'Urgence</v>
          </cell>
        </row>
        <row r="23">
          <cell r="A23" t="str">
            <v>Architecte Earthbag Shelters</v>
          </cell>
        </row>
        <row r="24">
          <cell r="A24" t="str">
            <v>ASB</v>
          </cell>
        </row>
        <row r="25">
          <cell r="A25" t="str">
            <v xml:space="preserve">ASF </v>
          </cell>
        </row>
        <row r="26">
          <cell r="A26" t="str">
            <v>Asiacion de Immigrants</v>
          </cell>
        </row>
        <row r="27">
          <cell r="A27" t="str">
            <v>AVSF</v>
          </cell>
        </row>
        <row r="28">
          <cell r="A28" t="str">
            <v>AVSI</v>
          </cell>
        </row>
        <row r="29">
          <cell r="A29" t="str">
            <v>BID/FAES/Food for the Poor</v>
          </cell>
        </row>
        <row r="30">
          <cell r="A30" t="str">
            <v>BRAC</v>
          </cell>
        </row>
        <row r="31">
          <cell r="A31" t="str">
            <v>Build Change</v>
          </cell>
        </row>
        <row r="32">
          <cell r="A32" t="str">
            <v>Canadian Red Cross</v>
          </cell>
        </row>
        <row r="33">
          <cell r="A33" t="str">
            <v>CARE</v>
          </cell>
        </row>
        <row r="34">
          <cell r="A34" t="str">
            <v>CARE/Cordaid</v>
          </cell>
        </row>
        <row r="35">
          <cell r="A35" t="str">
            <v>Caritas</v>
          </cell>
        </row>
        <row r="36">
          <cell r="A36" t="str">
            <v>Caritas Allemagne</v>
          </cell>
        </row>
        <row r="37">
          <cell r="A37" t="str">
            <v>Caritas Austriche</v>
          </cell>
        </row>
        <row r="38">
          <cell r="A38" t="str">
            <v>Caritas Swiss</v>
          </cell>
        </row>
        <row r="39">
          <cell r="A39" t="str">
            <v>CCCPC</v>
          </cell>
        </row>
        <row r="40">
          <cell r="A40" t="str">
            <v>CHF</v>
          </cell>
        </row>
        <row r="41">
          <cell r="A41" t="str">
            <v>Christian AID</v>
          </cell>
        </row>
        <row r="42">
          <cell r="A42" t="str">
            <v>Church World Service</v>
          </cell>
        </row>
        <row r="43">
          <cell r="A43" t="str">
            <v>CICR</v>
          </cell>
        </row>
        <row r="44">
          <cell r="A44" t="str">
            <v>Concern Worlwide</v>
          </cell>
        </row>
        <row r="45">
          <cell r="A45" t="str">
            <v>Cooperation néelandaise</v>
          </cell>
        </row>
        <row r="46">
          <cell r="A46" t="str">
            <v>COOPI</v>
          </cell>
        </row>
        <row r="47">
          <cell r="A47" t="str">
            <v>CordAid</v>
          </cell>
        </row>
        <row r="48">
          <cell r="A48" t="str">
            <v>Croix Rouge Belgique</v>
          </cell>
        </row>
        <row r="49">
          <cell r="A49" t="str">
            <v>Croix Rouge Danemark/Suisse</v>
          </cell>
        </row>
        <row r="50">
          <cell r="A50" t="str">
            <v>Croix Rouge Mali</v>
          </cell>
        </row>
        <row r="51">
          <cell r="A51" t="str">
            <v>CROSE</v>
          </cell>
        </row>
        <row r="52">
          <cell r="A52" t="str">
            <v>Cross International</v>
          </cell>
        </row>
        <row r="53">
          <cell r="A53" t="str">
            <v>CRS</v>
          </cell>
        </row>
        <row r="54">
          <cell r="A54" t="str">
            <v>CRS/Caritas</v>
          </cell>
        </row>
        <row r="55">
          <cell r="A55" t="str">
            <v>CRWRC</v>
          </cell>
        </row>
        <row r="56">
          <cell r="A56" t="str">
            <v>Danish People's Aid</v>
          </cell>
        </row>
        <row r="57">
          <cell r="A57" t="str">
            <v>Developpement et Paix/ITECA</v>
          </cell>
        </row>
        <row r="58">
          <cell r="A58" t="str">
            <v>DFID</v>
          </cell>
        </row>
        <row r="59">
          <cell r="A59" t="str">
            <v>DGPC</v>
          </cell>
        </row>
        <row r="60">
          <cell r="A60" t="str">
            <v>Diakonie</v>
          </cell>
        </row>
        <row r="61">
          <cell r="A61" t="str">
            <v>DNPC</v>
          </cell>
        </row>
        <row r="62">
          <cell r="A62" t="str">
            <v>DNPC Bamako</v>
          </cell>
        </row>
        <row r="63">
          <cell r="A63" t="str">
            <v>ECHO</v>
          </cell>
        </row>
        <row r="64">
          <cell r="A64" t="str">
            <v>Eglise Luthérienne</v>
          </cell>
        </row>
        <row r="65">
          <cell r="A65" t="str">
            <v>Emergency Group</v>
          </cell>
        </row>
        <row r="66">
          <cell r="A66" t="str">
            <v>European Civil Protection Team</v>
          </cell>
        </row>
        <row r="67">
          <cell r="A67" t="str">
            <v>Fanm deside</v>
          </cell>
        </row>
        <row r="68">
          <cell r="A68" t="str">
            <v>FAO</v>
          </cell>
        </row>
        <row r="69">
          <cell r="A69" t="str">
            <v>Feed the Children</v>
          </cell>
        </row>
        <row r="70">
          <cell r="A70" t="str">
            <v>FEMA</v>
          </cell>
        </row>
        <row r="71">
          <cell r="A71" t="str">
            <v>Food for the Hungry</v>
          </cell>
        </row>
        <row r="72">
          <cell r="A72" t="str">
            <v>Food for the poor</v>
          </cell>
        </row>
        <row r="73">
          <cell r="A73" t="str">
            <v>GAA/WHH</v>
          </cell>
        </row>
        <row r="74">
          <cell r="A74" t="str">
            <v>GIZ</v>
          </cell>
        </row>
        <row r="75">
          <cell r="A75" t="str">
            <v>GOAL</v>
          </cell>
        </row>
        <row r="76">
          <cell r="A76" t="str">
            <v>GoH</v>
          </cell>
        </row>
        <row r="77">
          <cell r="A77" t="str">
            <v>Habitat for Humanity</v>
          </cell>
        </row>
        <row r="78">
          <cell r="A78" t="str">
            <v>Habitat for Humanity / AABMC</v>
          </cell>
        </row>
        <row r="79">
          <cell r="A79" t="str">
            <v>Habitat for Humanity / American Red Cross</v>
          </cell>
        </row>
        <row r="80">
          <cell r="A80" t="str">
            <v>Habitat for Humanity / CHF</v>
          </cell>
        </row>
        <row r="81">
          <cell r="A81" t="str">
            <v>Habitat for Humanity / CRS</v>
          </cell>
        </row>
        <row r="82">
          <cell r="A82" t="str">
            <v>Habitat for Humanity / ERRF</v>
          </cell>
        </row>
        <row r="83">
          <cell r="A83" t="str">
            <v>Handicap International</v>
          </cell>
        </row>
        <row r="84">
          <cell r="A84" t="str">
            <v>Handicap International/American Red Cross</v>
          </cell>
        </row>
        <row r="85">
          <cell r="A85" t="str">
            <v>Handicap International/FDF</v>
          </cell>
        </row>
        <row r="86">
          <cell r="A86" t="str">
            <v>HAVEN</v>
          </cell>
        </row>
        <row r="87">
          <cell r="A87" t="str">
            <v>HAVEN/American Red Cross</v>
          </cell>
        </row>
        <row r="88">
          <cell r="A88" t="str">
            <v>HAVEN/CONCERN</v>
          </cell>
        </row>
        <row r="89">
          <cell r="A89" t="str">
            <v>HAVEN/Fonkoze</v>
          </cell>
        </row>
        <row r="90">
          <cell r="A90" t="str">
            <v>HAVEN/JPHRO</v>
          </cell>
        </row>
        <row r="91">
          <cell r="A91" t="str">
            <v>HAVEN/MCC</v>
          </cell>
        </row>
        <row r="92">
          <cell r="A92" t="str">
            <v>HAVEN/OXFAM</v>
          </cell>
        </row>
        <row r="93">
          <cell r="A93" t="str">
            <v>HAVEN/Plan</v>
          </cell>
        </row>
        <row r="94">
          <cell r="A94" t="str">
            <v>HEKS/EPER</v>
          </cell>
        </row>
        <row r="95">
          <cell r="A95" t="str">
            <v>HELP</v>
          </cell>
        </row>
        <row r="96">
          <cell r="A96" t="str">
            <v>HelpAge</v>
          </cell>
        </row>
        <row r="97">
          <cell r="A97" t="str">
            <v>HELP-Hilfe zur Selbsthilfe e.V</v>
          </cell>
        </row>
        <row r="98">
          <cell r="A98" t="str">
            <v>IEDA Relief</v>
          </cell>
        </row>
        <row r="99">
          <cell r="A99" t="str">
            <v>IFRC</v>
          </cell>
        </row>
        <row r="100">
          <cell r="A100" t="str">
            <v>Intersos</v>
          </cell>
        </row>
        <row r="101">
          <cell r="A101" t="str">
            <v>IOM</v>
          </cell>
        </row>
        <row r="102">
          <cell r="A102" t="str">
            <v>IOM/OTI Project</v>
          </cell>
        </row>
        <row r="103">
          <cell r="A103" t="str">
            <v>IOM/SASH</v>
          </cell>
        </row>
        <row r="104">
          <cell r="A104" t="str">
            <v>IRC</v>
          </cell>
        </row>
        <row r="105">
          <cell r="A105" t="str">
            <v>IRD</v>
          </cell>
        </row>
        <row r="106">
          <cell r="A106" t="str">
            <v>Islamic relief</v>
          </cell>
        </row>
        <row r="107">
          <cell r="A107" t="str">
            <v>Join the Journey</v>
          </cell>
        </row>
        <row r="108">
          <cell r="A108" t="str">
            <v>JP/HRO</v>
          </cell>
        </row>
        <row r="109">
          <cell r="A109" t="str">
            <v>LWF</v>
          </cell>
        </row>
        <row r="110">
          <cell r="A110" t="str">
            <v>M. Action Humanitaire</v>
          </cell>
        </row>
        <row r="111">
          <cell r="A111" t="str">
            <v>Médecin du Monde Belgique</v>
          </cell>
        </row>
        <row r="112">
          <cell r="A112" t="str">
            <v>Médecin du Monde France</v>
          </cell>
        </row>
        <row r="113">
          <cell r="A113" t="str">
            <v>Medair</v>
          </cell>
        </row>
        <row r="114">
          <cell r="A114" t="str">
            <v xml:space="preserve">Mennonites </v>
          </cell>
        </row>
        <row r="115">
          <cell r="A115" t="str">
            <v>Mennonites MCC</v>
          </cell>
        </row>
        <row r="116">
          <cell r="A116" t="str">
            <v>Miripsud</v>
          </cell>
        </row>
        <row r="117">
          <cell r="A117" t="str">
            <v>Mission of Hope Haiti</v>
          </cell>
        </row>
        <row r="118">
          <cell r="A118" t="str">
            <v>MOFKA</v>
          </cell>
        </row>
        <row r="119">
          <cell r="A119" t="str">
            <v>Morrell International Foundation</v>
          </cell>
        </row>
        <row r="120">
          <cell r="A120" t="str">
            <v>MSF F</v>
          </cell>
        </row>
        <row r="121">
          <cell r="A121" t="str">
            <v>MSF FRANCE</v>
          </cell>
        </row>
        <row r="122">
          <cell r="A122" t="str">
            <v>MSF SPAIN</v>
          </cell>
        </row>
        <row r="123">
          <cell r="A123" t="str">
            <v>MSF SWISS</v>
          </cell>
        </row>
        <row r="124">
          <cell r="A124" t="str">
            <v>Nippon International Cooperation</v>
          </cell>
        </row>
        <row r="125">
          <cell r="A125" t="str">
            <v>NRC</v>
          </cell>
        </row>
        <row r="126">
          <cell r="A126" t="str">
            <v>OCHA</v>
          </cell>
        </row>
        <row r="127">
          <cell r="A127" t="str">
            <v>OPREM-F</v>
          </cell>
        </row>
        <row r="128">
          <cell r="A128" t="str">
            <v xml:space="preserve">Organisation multiple </v>
          </cell>
        </row>
        <row r="129">
          <cell r="A129" t="str">
            <v>Other Agencies</v>
          </cell>
        </row>
        <row r="130">
          <cell r="A130" t="str">
            <v>Oxfam America</v>
          </cell>
        </row>
        <row r="131">
          <cell r="A131" t="str">
            <v>Oxfam GB</v>
          </cell>
        </row>
        <row r="132">
          <cell r="A132" t="str">
            <v>Oxfam Intermoun</v>
          </cell>
        </row>
        <row r="133">
          <cell r="A133" t="str">
            <v>Oxfam Quebec</v>
          </cell>
        </row>
        <row r="134">
          <cell r="A134" t="str">
            <v>PacBell</v>
          </cell>
        </row>
        <row r="135">
          <cell r="A135" t="str">
            <v>PADF</v>
          </cell>
        </row>
        <row r="136">
          <cell r="A136" t="str">
            <v>PADF/American Red Cross</v>
          </cell>
        </row>
        <row r="137">
          <cell r="A137" t="str">
            <v>PAM</v>
          </cell>
        </row>
        <row r="138">
          <cell r="A138" t="str">
            <v>Peace With Japan</v>
          </cell>
        </row>
        <row r="139">
          <cell r="A139" t="str">
            <v>People in Need</v>
          </cell>
        </row>
        <row r="140">
          <cell r="A140" t="str">
            <v>Philippine National Red Cross</v>
          </cell>
        </row>
        <row r="141">
          <cell r="A141" t="str">
            <v>PIH</v>
          </cell>
        </row>
        <row r="142">
          <cell r="A142" t="str">
            <v>Plan Mali</v>
          </cell>
        </row>
        <row r="143">
          <cell r="A143" t="str">
            <v>Planète Urgence</v>
          </cell>
        </row>
        <row r="144">
          <cell r="A144" t="str">
            <v>Premiere Urgence</v>
          </cell>
        </row>
        <row r="145">
          <cell r="A145" t="str">
            <v>Project Concern</v>
          </cell>
        </row>
        <row r="146">
          <cell r="A146" t="str">
            <v>Red Cross and Red Crescent Societies</v>
          </cell>
        </row>
        <row r="147">
          <cell r="A147" t="str">
            <v>Red Cross and Red Crescent Societies/ British Red Cross</v>
          </cell>
        </row>
        <row r="148">
          <cell r="A148" t="str">
            <v>Red Cross and Red Crescent Societies/ Canadian Red Cross</v>
          </cell>
        </row>
        <row r="149">
          <cell r="A149" t="str">
            <v>Red Cross and Red Crescent Societies/ French Red Cross</v>
          </cell>
        </row>
        <row r="150">
          <cell r="A150" t="str">
            <v>Red Cross and Red Crescent Societies/ German Red cross/Austrian Red Cross</v>
          </cell>
        </row>
        <row r="151">
          <cell r="A151" t="str">
            <v xml:space="preserve">Red Cross and Red Crescent Societies/ Haitian Red Cross </v>
          </cell>
        </row>
        <row r="152">
          <cell r="A152" t="str">
            <v>Red Cross and Red Crescent Societies/ Italian/ Haitian Red Cross</v>
          </cell>
        </row>
        <row r="153">
          <cell r="A153" t="str">
            <v>Red Cross and Red Crescent Societies/ Netherlands Red Cross</v>
          </cell>
        </row>
        <row r="154">
          <cell r="A154" t="str">
            <v>Red Cross and Red Crescent Societies/ Norwegian Red Cross</v>
          </cell>
        </row>
        <row r="155">
          <cell r="A155" t="str">
            <v>Red Cross and Red Crescent Societies/ Spanish Red Cross</v>
          </cell>
        </row>
        <row r="156">
          <cell r="A156" t="str">
            <v>Red Cross and Red Crescent Societies/ Spanish Red Cross/ Haitian Red Cross</v>
          </cell>
        </row>
        <row r="157">
          <cell r="A157" t="str">
            <v>Red Cross and Red Crescent Societies/ Swiss Red Cross</v>
          </cell>
        </row>
        <row r="158">
          <cell r="A158" t="str">
            <v>Relief International</v>
          </cell>
        </row>
        <row r="159">
          <cell r="A159" t="str">
            <v>Salvation Army</v>
          </cell>
        </row>
        <row r="160">
          <cell r="A160" t="str">
            <v>Samaritan's Purse</v>
          </cell>
        </row>
        <row r="161">
          <cell r="A161" t="str">
            <v>SASH</v>
          </cell>
        </row>
        <row r="162">
          <cell r="A162" t="str">
            <v>Save the Children</v>
          </cell>
        </row>
        <row r="163">
          <cell r="A163" t="str">
            <v>Secours Catholique</v>
          </cell>
        </row>
        <row r="164">
          <cell r="A164" t="str">
            <v>Secours Islamique France</v>
          </cell>
        </row>
        <row r="165">
          <cell r="A165" t="str">
            <v>SHELTER BOX</v>
          </cell>
        </row>
        <row r="166">
          <cell r="A166" t="str">
            <v>SOS Attitude</v>
          </cell>
        </row>
        <row r="167">
          <cell r="A167" t="str">
            <v>TearFund</v>
          </cell>
        </row>
        <row r="168">
          <cell r="A168" t="str">
            <v>TECHO</v>
          </cell>
        </row>
        <row r="169">
          <cell r="A169" t="str">
            <v>Terre des hommes</v>
          </cell>
        </row>
        <row r="170">
          <cell r="A170" t="str">
            <v>TWP</v>
          </cell>
        </row>
        <row r="171">
          <cell r="A171" t="str">
            <v>UJDHRD</v>
          </cell>
        </row>
        <row r="172">
          <cell r="A172" t="str">
            <v>UMCOR</v>
          </cell>
        </row>
        <row r="173">
          <cell r="A173" t="str">
            <v>UNDP</v>
          </cell>
        </row>
        <row r="174">
          <cell r="A174" t="str">
            <v>UNHCR</v>
          </cell>
        </row>
        <row r="175">
          <cell r="A175" t="str">
            <v>UNICEF</v>
          </cell>
        </row>
        <row r="176">
          <cell r="A176" t="str">
            <v>UNOPS</v>
          </cell>
        </row>
        <row r="177">
          <cell r="A177" t="str">
            <v>UNOPS/American Red Cross</v>
          </cell>
        </row>
        <row r="178">
          <cell r="A178" t="str">
            <v>UNOPS/Islamic Relief</v>
          </cell>
        </row>
        <row r="179">
          <cell r="A179" t="str">
            <v>US Army</v>
          </cell>
        </row>
        <row r="180">
          <cell r="A180" t="str">
            <v>US Southern Command</v>
          </cell>
        </row>
        <row r="181">
          <cell r="A181" t="str">
            <v>USA Red Cross</v>
          </cell>
        </row>
        <row r="182">
          <cell r="A182" t="str">
            <v>USAID</v>
          </cell>
        </row>
        <row r="183">
          <cell r="A183" t="str">
            <v>USAID/CEMEX</v>
          </cell>
        </row>
        <row r="184">
          <cell r="A184" t="str">
            <v>USAID/Thor Construction</v>
          </cell>
        </row>
        <row r="185">
          <cell r="A185" t="str">
            <v>Venezuelian Army</v>
          </cell>
        </row>
        <row r="186">
          <cell r="A186" t="str">
            <v>Welthungerhilfe</v>
          </cell>
        </row>
        <row r="187">
          <cell r="A187" t="str">
            <v>WFP</v>
          </cell>
        </row>
        <row r="188">
          <cell r="A188" t="str">
            <v>WHO</v>
          </cell>
        </row>
        <row r="189">
          <cell r="A189" t="str">
            <v>World Concern</v>
          </cell>
        </row>
        <row r="190">
          <cell r="A190" t="str">
            <v>World Relief Haiti</v>
          </cell>
        </row>
        <row r="191">
          <cell r="A191" t="str">
            <v>World Vision International</v>
          </cell>
        </row>
      </sheetData>
      <sheetData sheetId="6">
        <row r="2">
          <cell r="A2" t="str">
            <v xml:space="preserve"> Région de Bamako</v>
          </cell>
        </row>
        <row r="3">
          <cell r="A3" t="str">
            <v xml:space="preserve"> Région de Kayes</v>
          </cell>
        </row>
        <row r="4">
          <cell r="A4" t="str">
            <v xml:space="preserve"> Région de Koulikoro</v>
          </cell>
        </row>
        <row r="5">
          <cell r="A5" t="str">
            <v xml:space="preserve"> Région de Sikasso</v>
          </cell>
        </row>
        <row r="6">
          <cell r="A6" t="str">
            <v xml:space="preserve"> Région de Ségou</v>
          </cell>
        </row>
        <row r="7">
          <cell r="A7" t="str">
            <v xml:space="preserve"> Région de  Mopti</v>
          </cell>
        </row>
        <row r="8">
          <cell r="A8" t="str">
            <v xml:space="preserve"> Région de Tombouctou</v>
          </cell>
        </row>
        <row r="9">
          <cell r="A9" t="str">
            <v xml:space="preserve"> Région de Gao</v>
          </cell>
        </row>
        <row r="10">
          <cell r="A10" t="str">
            <v xml:space="preserve"> Région de Kidal</v>
          </cell>
        </row>
      </sheetData>
      <sheetData sheetId="7" refreshError="1"/>
      <sheetData sheetId="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OCK courant par ORGANIZATION"/>
      <sheetName val="Pcode"/>
      <sheetName val="DISTRIBUTION kit Shelter-NFI 4W"/>
      <sheetName val="NFI Dist. by Organization"/>
      <sheetName val="NFI DISTRIBUTION BY REGION"/>
      <sheetName val="Sheet2"/>
      <sheetName val="List REGIONS,CERCLES,COMMUNES"/>
      <sheetName val="Sheet3"/>
      <sheetName val="Stock  de Contingence DRAFT 05-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1">
          <cell r="A1" t="str">
            <v>Regions</v>
          </cell>
          <cell r="C1" t="str">
            <v>Cercles</v>
          </cell>
        </row>
        <row r="2">
          <cell r="A2" t="str">
            <v xml:space="preserve"> Région de Bamako</v>
          </cell>
          <cell r="C2" t="str">
            <v xml:space="preserve"> KAYES</v>
          </cell>
        </row>
        <row r="3">
          <cell r="A3" t="str">
            <v xml:space="preserve"> Région de Kayes</v>
          </cell>
          <cell r="C3" t="str">
            <v xml:space="preserve"> BAFOULABE</v>
          </cell>
        </row>
        <row r="4">
          <cell r="A4" t="str">
            <v xml:space="preserve"> Région de Koulikoro</v>
          </cell>
          <cell r="C4" t="str">
            <v xml:space="preserve"> DIEMA</v>
          </cell>
        </row>
        <row r="5">
          <cell r="A5" t="str">
            <v xml:space="preserve"> Région de Sikasso</v>
          </cell>
          <cell r="C5" t="str">
            <v xml:space="preserve"> KENIEBA</v>
          </cell>
        </row>
        <row r="6">
          <cell r="A6" t="str">
            <v xml:space="preserve"> Région de Ségou</v>
          </cell>
          <cell r="C6" t="str">
            <v xml:space="preserve"> KITA</v>
          </cell>
        </row>
        <row r="7">
          <cell r="A7" t="str">
            <v xml:space="preserve"> Région de  Mopti</v>
          </cell>
          <cell r="C7" t="str">
            <v xml:space="preserve"> NIORO</v>
          </cell>
        </row>
        <row r="8">
          <cell r="A8" t="str">
            <v xml:space="preserve"> Région de Tombouctou</v>
          </cell>
          <cell r="C8" t="str">
            <v xml:space="preserve"> YELIMANE</v>
          </cell>
        </row>
        <row r="9">
          <cell r="A9" t="str">
            <v xml:space="preserve"> Région de Gao</v>
          </cell>
          <cell r="C9" t="str">
            <v xml:space="preserve"> KOULIKORO</v>
          </cell>
        </row>
        <row r="10">
          <cell r="A10" t="str">
            <v xml:space="preserve"> Région de Kidal</v>
          </cell>
          <cell r="C10" t="str">
            <v xml:space="preserve"> BANAMBA</v>
          </cell>
        </row>
        <row r="11">
          <cell r="C11" t="str">
            <v xml:space="preserve"> DIOILA</v>
          </cell>
        </row>
        <row r="12">
          <cell r="C12" t="str">
            <v xml:space="preserve"> KANGABA</v>
          </cell>
        </row>
        <row r="13">
          <cell r="C13" t="str">
            <v xml:space="preserve"> KATI</v>
          </cell>
        </row>
        <row r="14">
          <cell r="C14" t="str">
            <v xml:space="preserve"> KOLOKANI</v>
          </cell>
        </row>
        <row r="15">
          <cell r="C15" t="str">
            <v xml:space="preserve"> NARA</v>
          </cell>
        </row>
        <row r="16">
          <cell r="C16" t="str">
            <v xml:space="preserve"> SIKASSO</v>
          </cell>
        </row>
        <row r="17">
          <cell r="C17" t="str">
            <v xml:space="preserve"> BOUGOUNI</v>
          </cell>
        </row>
        <row r="18">
          <cell r="C18" t="str">
            <v xml:space="preserve"> KADIOLO</v>
          </cell>
        </row>
        <row r="19">
          <cell r="C19" t="str">
            <v xml:space="preserve"> KOLONDIEBA</v>
          </cell>
        </row>
        <row r="20">
          <cell r="C20" t="str">
            <v xml:space="preserve"> KOUTIALA</v>
          </cell>
        </row>
        <row r="21">
          <cell r="C21" t="str">
            <v xml:space="preserve"> YANFOLILA</v>
          </cell>
        </row>
        <row r="22">
          <cell r="C22" t="str">
            <v xml:space="preserve"> YOROSSO</v>
          </cell>
        </row>
        <row r="23">
          <cell r="C23" t="str">
            <v xml:space="preserve"> SEGOU</v>
          </cell>
        </row>
        <row r="24">
          <cell r="C24" t="str">
            <v xml:space="preserve"> BARAOUELI</v>
          </cell>
        </row>
        <row r="25">
          <cell r="C25" t="str">
            <v xml:space="preserve"> BLA</v>
          </cell>
        </row>
        <row r="26">
          <cell r="C26" t="str">
            <v xml:space="preserve"> MACINA</v>
          </cell>
        </row>
        <row r="27">
          <cell r="C27" t="str">
            <v xml:space="preserve"> NIONO</v>
          </cell>
        </row>
        <row r="28">
          <cell r="C28" t="str">
            <v xml:space="preserve"> SAN</v>
          </cell>
        </row>
        <row r="29">
          <cell r="C29" t="str">
            <v xml:space="preserve"> TOMINIAN</v>
          </cell>
        </row>
        <row r="30">
          <cell r="C30" t="str">
            <v xml:space="preserve"> MOPTI</v>
          </cell>
        </row>
        <row r="31">
          <cell r="C31" t="str">
            <v xml:space="preserve"> BANDIAGARA</v>
          </cell>
        </row>
        <row r="32">
          <cell r="C32" t="str">
            <v xml:space="preserve"> BANKASS</v>
          </cell>
        </row>
        <row r="33">
          <cell r="C33" t="str">
            <v xml:space="preserve"> DJENNE</v>
          </cell>
        </row>
        <row r="34">
          <cell r="C34" t="str">
            <v xml:space="preserve"> DOUENTZA</v>
          </cell>
        </row>
        <row r="35">
          <cell r="C35" t="str">
            <v xml:space="preserve"> KORO</v>
          </cell>
        </row>
        <row r="36">
          <cell r="C36" t="str">
            <v xml:space="preserve"> TENENKOU</v>
          </cell>
        </row>
        <row r="37">
          <cell r="C37" t="str">
            <v xml:space="preserve"> YOUWAROU</v>
          </cell>
        </row>
        <row r="38">
          <cell r="C38" t="str">
            <v xml:space="preserve"> TOMBOUCTOU</v>
          </cell>
        </row>
        <row r="39">
          <cell r="C39" t="str">
            <v xml:space="preserve"> DIRE</v>
          </cell>
        </row>
        <row r="40">
          <cell r="C40" t="str">
            <v xml:space="preserve"> GOUNDAM</v>
          </cell>
        </row>
        <row r="41">
          <cell r="C41" t="str">
            <v xml:space="preserve"> GOURMA RHAROUS</v>
          </cell>
        </row>
        <row r="42">
          <cell r="C42" t="str">
            <v xml:space="preserve"> NIAFUNKE</v>
          </cell>
        </row>
        <row r="43">
          <cell r="C43" t="str">
            <v xml:space="preserve"> GAO</v>
          </cell>
        </row>
        <row r="44">
          <cell r="C44" t="str">
            <v xml:space="preserve"> ANSONGO</v>
          </cell>
        </row>
        <row r="45">
          <cell r="C45" t="str">
            <v xml:space="preserve"> BOUREM</v>
          </cell>
        </row>
        <row r="46">
          <cell r="C46" t="str">
            <v xml:space="preserve"> MENAKA</v>
          </cell>
        </row>
        <row r="47">
          <cell r="C47" t="str">
            <v xml:space="preserve"> KIDAL</v>
          </cell>
        </row>
        <row r="48">
          <cell r="C48" t="str">
            <v xml:space="preserve"> ABEIBARA</v>
          </cell>
        </row>
        <row r="49">
          <cell r="C49" t="str">
            <v xml:space="preserve"> TESSALIT</v>
          </cell>
        </row>
        <row r="50">
          <cell r="C50" t="str">
            <v xml:space="preserve"> TIN ESSAKO</v>
          </cell>
        </row>
      </sheetData>
      <sheetData sheetId="7" refreshError="1"/>
      <sheetData sheetId="8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ambou" refreshedDate="41319.604482291666" createdVersion="3" refreshedVersion="3" minRefreshableVersion="3" recordCount="951">
  <cacheSource type="worksheet">
    <worksheetSource ref="A4:AA953" sheet="Base Distribution"/>
  </cacheSource>
  <cacheFields count="29">
    <cacheField name=" Date de début DD/MM/YY" numFmtId="0">
      <sharedItems containsDate="1" containsBlank="1" containsMixedTypes="1" minDate="2012-04-07T00:00:00" maxDate="2013-01-03T00:00:00"/>
    </cacheField>
    <cacheField name=" Date de fin DD/MM/YY" numFmtId="14">
      <sharedItems containsDate="1" containsBlank="1" containsMixedTypes="1" minDate="2012-04-07T00:00:00" maxDate="2013-08-16T00:00:00"/>
    </cacheField>
    <cacheField name="AGENCE" numFmtId="0">
      <sharedItems containsBlank="1" count="14">
        <s v="ACTED"/>
        <s v="ALIMA"/>
        <s v="AVSF"/>
        <s v="CARE"/>
        <s v="Croix Rouge Malienne"/>
        <s v="CRS"/>
        <s v="DGPC"/>
        <s v="IOM"/>
        <s v="IRC"/>
        <s v="Médecin du Monde Belgique"/>
        <s v="Médecin du Monde France"/>
        <s v="UNHCR"/>
        <s v="USAID"/>
        <m/>
      </sharedItems>
    </cacheField>
    <cacheField name="Organisme ayant fourni les NFIs" numFmtId="0">
      <sharedItems containsBlank="1"/>
    </cacheField>
    <cacheField name="AGENCE en charge  de la distribution" numFmtId="0">
      <sharedItems containsBlank="1"/>
    </cacheField>
    <cacheField name="REGION" numFmtId="0">
      <sharedItems containsBlank="1"/>
    </cacheField>
    <cacheField name="Pcode" numFmtId="0">
      <sharedItems containsMixedTypes="1" containsNumber="1" containsInteger="1" minValue="1" maxValue="9"/>
    </cacheField>
    <cacheField name="CERCLE" numFmtId="0">
      <sharedItems containsBlank="1"/>
    </cacheField>
    <cacheField name="Pcode2" numFmtId="0">
      <sharedItems containsMixedTypes="1" containsNumber="1" containsInteger="1" minValue="111" maxValue="912"/>
    </cacheField>
    <cacheField name="COMMUNE" numFmtId="0">
      <sharedItems containsBlank="1"/>
    </cacheField>
    <cacheField name="#  Familles" numFmtId="0">
      <sharedItems containsString="0" containsBlank="1" containsNumber="1" containsInteger="1" minValue="2" maxValue="2500"/>
    </cacheField>
    <cacheField name="# Personnes" numFmtId="0">
      <sharedItems containsString="0" containsBlank="1" containsNumber="1" containsInteger="1" minValue="12" maxValue="17064"/>
    </cacheField>
    <cacheField name="Activités  -Distribution NFI / Cash" numFmtId="0">
      <sharedItems containsBlank="1"/>
    </cacheField>
    <cacheField name="Si CASH: Montant en CFA" numFmtId="0">
      <sharedItems containsNonDate="0" containsString="0" containsBlank="1"/>
    </cacheField>
    <cacheField name="Population ciblée (générale/ PDI)" numFmtId="0">
      <sharedItems containsBlank="1"/>
    </cacheField>
    <cacheField name="Tentes " numFmtId="0">
      <sharedItems containsString="0" containsBlank="1" containsNumber="1" containsInteger="1" minValue="7" maxValue="10"/>
    </cacheField>
    <cacheField name="Matelas" numFmtId="0">
      <sharedItems containsString="0" containsBlank="1" containsNumber="1" containsInteger="1" minValue="50" maxValue="415"/>
    </cacheField>
    <cacheField name="Cordes" numFmtId="0">
      <sharedItems containsNonDate="0" containsString="0" containsBlank="1"/>
    </cacheField>
    <cacheField name="Baches en rouleau (4x50m)" numFmtId="0">
      <sharedItems containsString="0" containsBlank="1" containsNumber="1" containsInteger="1" minValue="2" maxValue="2"/>
    </cacheField>
    <cacheField name="Baches 4m x 5m " numFmtId="0">
      <sharedItems containsString="0" containsBlank="1" containsNumber="1" containsInteger="1" minValue="10" maxValue="1665"/>
    </cacheField>
    <cacheField name="Couvertures" numFmtId="0">
      <sharedItems containsString="0" containsBlank="1" containsNumber="1" containsInteger="1" minValue="0" maxValue="5916"/>
    </cacheField>
    <cacheField name="Nattes" numFmtId="0">
      <sharedItems containsString="0" containsBlank="1" containsNumber="1" containsInteger="1" minValue="4" maxValue="5916"/>
    </cacheField>
    <cacheField name="Lampes" numFmtId="0">
      <sharedItems containsNonDate="0" containsString="0" containsBlank="1"/>
    </cacheField>
    <cacheField name="Kits cuisine" numFmtId="0">
      <sharedItems containsString="0" containsBlank="1" containsNumber="1" containsInteger="1" minValue="4" maxValue="718"/>
    </cacheField>
    <cacheField name="Bidons 10litres" numFmtId="0">
      <sharedItems containsString="0" containsBlank="1" containsNumber="1" containsInteger="1" minValue="34" maxValue="3800"/>
    </cacheField>
    <cacheField name="Seaux" numFmtId="0">
      <sharedItems containsString="0" containsBlank="1" containsNumber="1" containsInteger="1" minValue="68" maxValue="2856"/>
    </cacheField>
    <cacheField name="Moustiquaires " numFmtId="0">
      <sharedItems containsString="0" containsBlank="1" containsNumber="1" containsInteger="1" minValue="36" maxValue="4500"/>
    </cacheField>
    <cacheField name="Outils de construction" numFmtId="0">
      <sharedItems containsNonDate="0" containsString="0" containsBlank="1"/>
    </cacheField>
    <cacheField name="Remarques/Commentaires" numFmtId="0">
      <sharedItems containsBlank="1" longText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Sambou" refreshedDate="41319.604482523151" createdVersion="3" refreshedVersion="3" minRefreshableVersion="3" recordCount="561">
  <cacheSource type="worksheet">
    <worksheetSource ref="A4:AA563" sheet="Base Distribution"/>
  </cacheSource>
  <cacheFields count="29">
    <cacheField name=" Date de début DD/MM/YY" numFmtId="0">
      <sharedItems containsDate="1" containsBlank="1" containsMixedTypes="1" minDate="2012-04-07T00:00:00" maxDate="2013-01-03T00:00:00"/>
    </cacheField>
    <cacheField name=" Date de fin DD/MM/YY" numFmtId="14">
      <sharedItems containsDate="1" containsBlank="1" containsMixedTypes="1" minDate="2012-04-07T00:00:00" maxDate="2013-08-16T00:00:00"/>
    </cacheField>
    <cacheField name="AGENCE" numFmtId="0">
      <sharedItems containsBlank="1" count="14">
        <s v="ACTED"/>
        <s v="ALIMA"/>
        <s v="AVSF"/>
        <s v="CARE"/>
        <s v="Croix Rouge Malienne"/>
        <s v="CRS"/>
        <s v="DGPC"/>
        <s v="IOM"/>
        <s v="IRC"/>
        <s v="Médecin du Monde Belgique"/>
        <s v="Médecin du Monde France"/>
        <s v="UNHCR"/>
        <s v="USAID"/>
        <m/>
      </sharedItems>
    </cacheField>
    <cacheField name="Organisme ayant fourni les NFIs" numFmtId="0">
      <sharedItems containsBlank="1"/>
    </cacheField>
    <cacheField name="AGENCE en charge  de la distribution" numFmtId="0">
      <sharedItems containsBlank="1"/>
    </cacheField>
    <cacheField name="REGION" numFmtId="0">
      <sharedItems containsBlank="1"/>
    </cacheField>
    <cacheField name="Pcode" numFmtId="0">
      <sharedItems containsMixedTypes="1" containsNumber="1" containsInteger="1" minValue="1" maxValue="9"/>
    </cacheField>
    <cacheField name="CERCLE" numFmtId="0">
      <sharedItems containsBlank="1"/>
    </cacheField>
    <cacheField name="Pcode2" numFmtId="0">
      <sharedItems containsMixedTypes="1" containsNumber="1" containsInteger="1" minValue="111" maxValue="912"/>
    </cacheField>
    <cacheField name="COMMUNE" numFmtId="0">
      <sharedItems containsBlank="1"/>
    </cacheField>
    <cacheField name="#  Familles" numFmtId="0">
      <sharedItems containsString="0" containsBlank="1" containsNumber="1" containsInteger="1" minValue="2" maxValue="2500"/>
    </cacheField>
    <cacheField name="# Personnes" numFmtId="0">
      <sharedItems containsString="0" containsBlank="1" containsNumber="1" containsInteger="1" minValue="12" maxValue="17064"/>
    </cacheField>
    <cacheField name="Activités  -Distribution NFI / Cash" numFmtId="0">
      <sharedItems containsBlank="1"/>
    </cacheField>
    <cacheField name="Si CASH: Montant en CFA" numFmtId="0">
      <sharedItems containsNonDate="0" containsString="0" containsBlank="1"/>
    </cacheField>
    <cacheField name="Population ciblée (générale/ PDI)" numFmtId="0">
      <sharedItems containsBlank="1"/>
    </cacheField>
    <cacheField name="Tentes " numFmtId="0">
      <sharedItems containsString="0" containsBlank="1" containsNumber="1" containsInteger="1" minValue="7" maxValue="10"/>
    </cacheField>
    <cacheField name="Matelas" numFmtId="0">
      <sharedItems containsString="0" containsBlank="1" containsNumber="1" containsInteger="1" minValue="50" maxValue="415"/>
    </cacheField>
    <cacheField name="Cordes" numFmtId="0">
      <sharedItems containsNonDate="0" containsString="0" containsBlank="1"/>
    </cacheField>
    <cacheField name="Baches en rouleau (4x50m)" numFmtId="0">
      <sharedItems containsString="0" containsBlank="1" containsNumber="1" containsInteger="1" minValue="2" maxValue="2"/>
    </cacheField>
    <cacheField name="Baches 4m x 5m " numFmtId="0">
      <sharedItems containsString="0" containsBlank="1" containsNumber="1" containsInteger="1" minValue="10" maxValue="1665"/>
    </cacheField>
    <cacheField name="Couvertures" numFmtId="0">
      <sharedItems containsString="0" containsBlank="1" containsNumber="1" containsInteger="1" minValue="0" maxValue="5916"/>
    </cacheField>
    <cacheField name="Nattes" numFmtId="0">
      <sharedItems containsString="0" containsBlank="1" containsNumber="1" containsInteger="1" minValue="4" maxValue="5916"/>
    </cacheField>
    <cacheField name="Lampes" numFmtId="0">
      <sharedItems containsNonDate="0" containsString="0" containsBlank="1"/>
    </cacheField>
    <cacheField name="Kits cuisine" numFmtId="0">
      <sharedItems containsString="0" containsBlank="1" containsNumber="1" containsInteger="1" minValue="4" maxValue="718"/>
    </cacheField>
    <cacheField name="Bidons 10litres" numFmtId="0">
      <sharedItems containsString="0" containsBlank="1" containsNumber="1" containsInteger="1" minValue="34" maxValue="3800"/>
    </cacheField>
    <cacheField name="Seaux" numFmtId="0">
      <sharedItems containsString="0" containsBlank="1" containsNumber="1" containsInteger="1" minValue="68" maxValue="2856"/>
    </cacheField>
    <cacheField name="Moustiquaires " numFmtId="0">
      <sharedItems containsString="0" containsBlank="1" containsNumber="1" containsInteger="1" minValue="36" maxValue="4500"/>
    </cacheField>
    <cacheField name="Outils de construction" numFmtId="0">
      <sharedItems containsNonDate="0" containsString="0" containsBlank="1"/>
    </cacheField>
    <cacheField name="Remarques/Commentaires" numFmtId="0">
      <sharedItems containsBlank="1" longText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Sambou" refreshedDate="41319.604482754628" createdVersion="3" refreshedVersion="3" minRefreshableVersion="3" recordCount="70">
  <cacheSource type="worksheet">
    <worksheetSource ref="A4:AA72" sheet="Base Distribution"/>
  </cacheSource>
  <cacheFields count="29">
    <cacheField name=" Date de début DD/MM/YY" numFmtId="0">
      <sharedItems containsDate="1" containsMixedTypes="1" minDate="2012-04-07T00:00:00" maxDate="2013-01-03T00:00:00"/>
    </cacheField>
    <cacheField name=" Date de fin DD/MM/YY" numFmtId="14">
      <sharedItems containsDate="1" containsMixedTypes="1" minDate="2012-04-07T00:00:00" maxDate="2013-08-16T00:00:00"/>
    </cacheField>
    <cacheField name="AGENCE" numFmtId="0">
      <sharedItems/>
    </cacheField>
    <cacheField name="Organisme ayant fourni les NFIs" numFmtId="0">
      <sharedItems containsBlank="1"/>
    </cacheField>
    <cacheField name="AGENCE en charge  de la distribution" numFmtId="0">
      <sharedItems/>
    </cacheField>
    <cacheField name="REGION" numFmtId="0">
      <sharedItems count="9">
        <s v=" Région de Bamako"/>
        <s v=" Région de Koulikoro"/>
        <s v=" Région de Ségou"/>
        <s v=" Région de Tombouctou"/>
        <s v=" Région de  Mopti"/>
        <s v=" Région de Kidal"/>
        <s v=" Région de Gao"/>
        <s v=" Région de Sikasso"/>
        <s v=" Région de Kayes"/>
      </sharedItems>
    </cacheField>
    <cacheField name="Pcode" numFmtId="0">
      <sharedItems containsSemiMixedTypes="0" containsString="0" containsNumber="1" containsInteger="1" minValue="1" maxValue="9"/>
    </cacheField>
    <cacheField name="CERCLE" numFmtId="0">
      <sharedItems/>
    </cacheField>
    <cacheField name="Pcode2" numFmtId="0">
      <sharedItems containsSemiMixedTypes="0" containsString="0" containsNumber="1" containsInteger="1" minValue="111" maxValue="912"/>
    </cacheField>
    <cacheField name="COMMUNE" numFmtId="0">
      <sharedItems containsBlank="1"/>
    </cacheField>
    <cacheField name="#  Familles" numFmtId="169">
      <sharedItems containsString="0" containsBlank="1" containsNumber="1" containsInteger="1" minValue="2" maxValue="2500"/>
    </cacheField>
    <cacheField name="# Personnes" numFmtId="169">
      <sharedItems containsString="0" containsBlank="1" containsNumber="1" containsInteger="1" minValue="12" maxValue="17064"/>
    </cacheField>
    <cacheField name="Activités  -Distribution NFI / Cash" numFmtId="0">
      <sharedItems/>
    </cacheField>
    <cacheField name="Si CASH: Montant en CFA" numFmtId="0">
      <sharedItems containsNonDate="0" containsString="0" containsBlank="1"/>
    </cacheField>
    <cacheField name="Population ciblée (générale/ PDI)" numFmtId="0">
      <sharedItems/>
    </cacheField>
    <cacheField name="Tentes " numFmtId="169">
      <sharedItems containsString="0" containsBlank="1" containsNumber="1" containsInteger="1" minValue="7" maxValue="10"/>
    </cacheField>
    <cacheField name="Matelas" numFmtId="169">
      <sharedItems containsString="0" containsBlank="1" containsNumber="1" containsInteger="1" minValue="50" maxValue="415"/>
    </cacheField>
    <cacheField name="Cordes" numFmtId="169">
      <sharedItems containsNonDate="0" containsString="0" containsBlank="1"/>
    </cacheField>
    <cacheField name="Baches en rouleau (4x50m)" numFmtId="169">
      <sharedItems containsString="0" containsBlank="1" containsNumber="1" containsInteger="1" minValue="2" maxValue="2"/>
    </cacheField>
    <cacheField name="Baches 4m x 5m " numFmtId="169">
      <sharedItems containsString="0" containsBlank="1" containsNumber="1" containsInteger="1" minValue="10" maxValue="1665"/>
    </cacheField>
    <cacheField name="Couvertures" numFmtId="169">
      <sharedItems containsString="0" containsBlank="1" containsNumber="1" containsInteger="1" minValue="0" maxValue="5916"/>
    </cacheField>
    <cacheField name="Nattes" numFmtId="169">
      <sharedItems containsString="0" containsBlank="1" containsNumber="1" containsInteger="1" minValue="4" maxValue="5916"/>
    </cacheField>
    <cacheField name="Lampes" numFmtId="169">
      <sharedItems containsNonDate="0" containsString="0" containsBlank="1"/>
    </cacheField>
    <cacheField name="Kits cuisine" numFmtId="169">
      <sharedItems containsString="0" containsBlank="1" containsNumber="1" containsInteger="1" minValue="4" maxValue="718"/>
    </cacheField>
    <cacheField name="Bidons 10litres" numFmtId="169">
      <sharedItems containsString="0" containsBlank="1" containsNumber="1" containsInteger="1" minValue="34" maxValue="3800"/>
    </cacheField>
    <cacheField name="Seaux" numFmtId="169">
      <sharedItems containsString="0" containsBlank="1" containsNumber="1" containsInteger="1" minValue="68" maxValue="2856"/>
    </cacheField>
    <cacheField name="Moustiquaires " numFmtId="169">
      <sharedItems containsString="0" containsBlank="1" containsNumber="1" containsInteger="1" minValue="36" maxValue="4500"/>
    </cacheField>
    <cacheField name="Outils de construction" numFmtId="169">
      <sharedItems containsNonDate="0" containsString="0" containsBlank="1"/>
    </cacheField>
    <cacheField name="Remarques/Commentaires" numFmtId="0">
      <sharedItems containsBlank="1" longText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refreshedBy="Sambou" refreshedDate="41319.604482986113" createdVersion="3" refreshedVersion="3" minRefreshableVersion="3" recordCount="123">
  <cacheSource type="worksheet">
    <worksheetSource ref="A4:AA125" sheet="Base Distribution"/>
  </cacheSource>
  <cacheFields count="29">
    <cacheField name=" Date de début DD/MM/YY" numFmtId="0">
      <sharedItems containsDate="1" containsBlank="1" containsMixedTypes="1" minDate="2012-04-07T00:00:00" maxDate="2013-01-03T00:00:00"/>
    </cacheField>
    <cacheField name=" Date de fin DD/MM/YY" numFmtId="14">
      <sharedItems containsDate="1" containsBlank="1" containsMixedTypes="1" minDate="2012-04-07T00:00:00" maxDate="2013-08-16T00:00:00"/>
    </cacheField>
    <cacheField name="AGENCE" numFmtId="0">
      <sharedItems containsBlank="1"/>
    </cacheField>
    <cacheField name="Organisme ayant fourni les NFIs" numFmtId="0">
      <sharedItems containsBlank="1"/>
    </cacheField>
    <cacheField name="AGENCE en charge  de la distribution" numFmtId="0">
      <sharedItems containsBlank="1"/>
    </cacheField>
    <cacheField name="REGION" numFmtId="0">
      <sharedItems containsBlank="1" count="10">
        <s v=" Région de Bamako"/>
        <s v=" Région de Koulikoro"/>
        <s v=" Région de Ségou"/>
        <s v=" Région de Tombouctou"/>
        <s v=" Région de  Mopti"/>
        <s v=" Région de Kidal"/>
        <s v=" Région de Gao"/>
        <s v=" Région de Sikasso"/>
        <s v=" Région de Kayes"/>
        <m/>
      </sharedItems>
    </cacheField>
    <cacheField name="Pcode" numFmtId="0">
      <sharedItems containsMixedTypes="1" containsNumber="1" containsInteger="1" minValue="1" maxValue="9"/>
    </cacheField>
    <cacheField name="CERCLE" numFmtId="0">
      <sharedItems containsBlank="1"/>
    </cacheField>
    <cacheField name="Pcode2" numFmtId="0">
      <sharedItems containsMixedTypes="1" containsNumber="1" containsInteger="1" minValue="111" maxValue="912"/>
    </cacheField>
    <cacheField name="COMMUNE" numFmtId="0">
      <sharedItems containsBlank="1"/>
    </cacheField>
    <cacheField name="#  Familles" numFmtId="0">
      <sharedItems containsString="0" containsBlank="1" containsNumber="1" containsInteger="1" minValue="2" maxValue="2500"/>
    </cacheField>
    <cacheField name="# Personnes" numFmtId="0">
      <sharedItems containsString="0" containsBlank="1" containsNumber="1" containsInteger="1" minValue="12" maxValue="17064"/>
    </cacheField>
    <cacheField name="Activités  -Distribution NFI / Cash" numFmtId="0">
      <sharedItems containsBlank="1"/>
    </cacheField>
    <cacheField name="Si CASH: Montant en CFA" numFmtId="0">
      <sharedItems containsNonDate="0" containsString="0" containsBlank="1"/>
    </cacheField>
    <cacheField name="Population ciblée (générale/ PDI)" numFmtId="0">
      <sharedItems containsBlank="1"/>
    </cacheField>
    <cacheField name="Tentes " numFmtId="0">
      <sharedItems containsString="0" containsBlank="1" containsNumber="1" containsInteger="1" minValue="7" maxValue="10"/>
    </cacheField>
    <cacheField name="Matelas" numFmtId="0">
      <sharedItems containsString="0" containsBlank="1" containsNumber="1" containsInteger="1" minValue="50" maxValue="415"/>
    </cacheField>
    <cacheField name="Cordes" numFmtId="0">
      <sharedItems containsNonDate="0" containsString="0" containsBlank="1"/>
    </cacheField>
    <cacheField name="Baches en rouleau (4x50m)" numFmtId="0">
      <sharedItems containsString="0" containsBlank="1" containsNumber="1" containsInteger="1" minValue="2" maxValue="2"/>
    </cacheField>
    <cacheField name="Baches 4m x 5m " numFmtId="0">
      <sharedItems containsString="0" containsBlank="1" containsNumber="1" containsInteger="1" minValue="10" maxValue="1665"/>
    </cacheField>
    <cacheField name="Couvertures" numFmtId="0">
      <sharedItems containsString="0" containsBlank="1" containsNumber="1" containsInteger="1" minValue="0" maxValue="5916"/>
    </cacheField>
    <cacheField name="Nattes" numFmtId="0">
      <sharedItems containsString="0" containsBlank="1" containsNumber="1" containsInteger="1" minValue="4" maxValue="5916"/>
    </cacheField>
    <cacheField name="Lampes" numFmtId="0">
      <sharedItems containsNonDate="0" containsString="0" containsBlank="1"/>
    </cacheField>
    <cacheField name="Kits cuisine" numFmtId="0">
      <sharedItems containsString="0" containsBlank="1" containsNumber="1" containsInteger="1" minValue="4" maxValue="718"/>
    </cacheField>
    <cacheField name="Bidons 10litres" numFmtId="0">
      <sharedItems containsString="0" containsBlank="1" containsNumber="1" containsInteger="1" minValue="34" maxValue="3800"/>
    </cacheField>
    <cacheField name="Seaux" numFmtId="0">
      <sharedItems containsString="0" containsBlank="1" containsNumber="1" containsInteger="1" minValue="68" maxValue="2856"/>
    </cacheField>
    <cacheField name="Moustiquaires " numFmtId="0">
      <sharedItems containsString="0" containsBlank="1" containsNumber="1" containsInteger="1" minValue="36" maxValue="4500"/>
    </cacheField>
    <cacheField name="Outils de construction" numFmtId="0">
      <sharedItems containsNonDate="0" containsString="0" containsBlank="1"/>
    </cacheField>
    <cacheField name="Remarques/Commentaires" numFmtId="0">
      <sharedItems containsBlank="1" longText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51">
  <r>
    <d v="2012-10-05T00:00:00"/>
    <d v="2012-10-05T00:00:00"/>
    <x v="0"/>
    <s v="ACTED"/>
    <s v="ACTED"/>
    <s v=" Région de Bamako"/>
    <n v="1"/>
    <s v=" District de Bamako"/>
    <n v="111"/>
    <s v=" COMMUNE 5"/>
    <n v="415"/>
    <n v="3674"/>
    <s v="NFI"/>
    <m/>
    <s v="PDI"/>
    <m/>
    <n v="415"/>
    <m/>
    <m/>
    <m/>
    <n v="830"/>
    <n v="830"/>
    <m/>
    <n v="415"/>
    <m/>
    <m/>
    <n v="830"/>
    <m/>
    <s v="Composition du kit de cuisine: 1 bassine, 1 grande tasse, 1 seau en plastique, 1 paquet de savon, 1 plateau, 1 louche, 6 gobelets, 6 cuillères, 1 couteau de cuisine, 2 marmites, 1 jerrican, 1 fourneau"/>
  </r>
  <r>
    <d v="2012-10-05T00:00:00"/>
    <d v="2012-10-05T00:00:00"/>
    <x v="0"/>
    <s v="ACTED"/>
    <s v="ACTED"/>
    <s v=" Région de Koulikoro"/>
    <n v="3"/>
    <s v=" Cercle de KATI"/>
    <n v="315"/>
    <s v=" COM. DE KALABANCORO             "/>
    <n v="285"/>
    <n v="798"/>
    <s v="NFI"/>
    <m/>
    <s v="PDI"/>
    <m/>
    <n v="285"/>
    <m/>
    <m/>
    <m/>
    <n v="570"/>
    <n v="570"/>
    <m/>
    <n v="285"/>
    <m/>
    <m/>
    <n v="570"/>
    <m/>
    <s v="Composition du kit de cuisine: 1 bassine, 1 grande tasse, 1 seau en plastique, 1 paquet de savon, 1 plateau, 1 louche, 6 gobelets, 6 cuillères, 1 couteau de cuisine, 2 marmites, 1 jerrican, 1 fourneau"/>
  </r>
  <r>
    <d v="2012-10-19T00:00:00"/>
    <d v="2012-10-19T00:00:00"/>
    <x v="0"/>
    <s v="UNICEF"/>
    <s v="ACTED"/>
    <s v=" Région de Ségou"/>
    <n v="5"/>
    <s v=" Cercle de  TOMINIAN"/>
    <n v="517"/>
    <s v=" COM. DE TOMINIAN                "/>
    <n v="262"/>
    <n v="1572"/>
    <s v="NFI"/>
    <m/>
    <s v="PDI"/>
    <m/>
    <m/>
    <m/>
    <m/>
    <n v="262"/>
    <n v="524"/>
    <n v="524"/>
    <m/>
    <n v="262"/>
    <m/>
    <m/>
    <m/>
    <m/>
    <s v="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10-19T00:00:00"/>
    <d v="2012-10-19T00:00:00"/>
    <x v="0"/>
    <s v="UNICEF"/>
    <s v="ACTED"/>
    <s v=" Région de Ségou"/>
    <n v="5"/>
    <s v=" Cercle de  TOMINIAN"/>
    <n v="517"/>
    <s v=" COM. DE  FANGASSO               "/>
    <n v="284"/>
    <n v="1704"/>
    <s v="NFI"/>
    <m/>
    <s v="PDI"/>
    <m/>
    <m/>
    <m/>
    <m/>
    <n v="284"/>
    <n v="568"/>
    <n v="568"/>
    <m/>
    <n v="284"/>
    <m/>
    <m/>
    <m/>
    <m/>
    <s v="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10-19T00:00:00"/>
    <d v="2012-10-19T00:00:00"/>
    <x v="0"/>
    <s v="UNICEF"/>
    <s v="ACTED"/>
    <s v=" Région de Ségou"/>
    <n v="5"/>
    <s v=" Cercle de  TOMINIAN"/>
    <n v="517"/>
    <s v=" COM. DE OUAN                    "/>
    <n v="51"/>
    <n v="306"/>
    <s v="NFI"/>
    <m/>
    <s v="PDI"/>
    <m/>
    <m/>
    <m/>
    <m/>
    <n v="51"/>
    <n v="102"/>
    <n v="102"/>
    <m/>
    <n v="51"/>
    <m/>
    <m/>
    <m/>
    <m/>
    <s v="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04-07T00:00:00"/>
    <d v="2012-04-07T00:00:00"/>
    <x v="1"/>
    <s v="UNICEF"/>
    <s v="ALIMA"/>
    <s v=" Région de Tombouctou"/>
    <n v="7"/>
    <s v=" Cercle de TOMBOUCTOU"/>
    <n v="711"/>
    <s v=" COM. DE TOMBOUCTOU              "/>
    <n v="200"/>
    <n v="1200"/>
    <s v="NFI"/>
    <m/>
    <s v="PDI"/>
    <m/>
    <m/>
    <m/>
    <m/>
    <n v="200"/>
    <n v="400"/>
    <n v="400"/>
    <m/>
    <n v="20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10-30T00:00:00"/>
    <d v="2012-10-31T00:00:00"/>
    <x v="1"/>
    <s v="UNICEF"/>
    <s v="ALIMA"/>
    <s v=" Région de Tombouctou"/>
    <n v="7"/>
    <s v=" Cercle de DIRE"/>
    <n v="712"/>
    <s v=" COM. DE DIRE                    "/>
    <n v="100"/>
    <n v="600"/>
    <s v="NFI"/>
    <m/>
    <s v="PDI"/>
    <m/>
    <m/>
    <m/>
    <m/>
    <n v="100"/>
    <n v="200"/>
    <n v="200"/>
    <m/>
    <n v="10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09-27T00:00:00"/>
    <d v="2012-09-27T00:00:00"/>
    <x v="2"/>
    <s v="UNICEF"/>
    <s v="AVSF"/>
    <s v=" Région de Tombouctou"/>
    <n v="7"/>
    <s v=" Cercle de TOMBOUCTOU"/>
    <n v="711"/>
    <s v=" COM. DE  BER                    "/>
    <n v="200"/>
    <n v="1200"/>
    <s v="NFI"/>
    <m/>
    <s v="PDI"/>
    <m/>
    <m/>
    <m/>
    <m/>
    <n v="200"/>
    <n v="400"/>
    <n v="400"/>
    <m/>
    <n v="20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09-28T00:00:00"/>
    <d v="2012-09-28T00:00:00"/>
    <x v="2"/>
    <s v="UNICEF"/>
    <s v="AVSF"/>
    <s v=" Région de Tombouctou"/>
    <n v="7"/>
    <s v=" Cercle de TOMBOUCTOU"/>
    <n v="711"/>
    <s v=" COM. DE TOMBOUCTOU              "/>
    <n v="200"/>
    <n v="1200"/>
    <s v="NFI"/>
    <m/>
    <s v="PDI"/>
    <m/>
    <m/>
    <m/>
    <m/>
    <n v="200"/>
    <n v="400"/>
    <n v="400"/>
    <m/>
    <n v="20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10-01T00:00:00"/>
    <d v="2012-10-01T00:00:00"/>
    <x v="2"/>
    <s v="UNICEF"/>
    <s v="AVSF"/>
    <s v=" Région de Tombouctou"/>
    <n v="7"/>
    <s v=" Cercle de TOMBOUCTOU"/>
    <n v="711"/>
    <s v=" COM. DE TOMBOUCTOU              "/>
    <n v="120"/>
    <n v="720"/>
    <s v="NFI"/>
    <m/>
    <s v="PDI"/>
    <m/>
    <m/>
    <m/>
    <m/>
    <n v="120"/>
    <n v="240"/>
    <n v="240"/>
    <m/>
    <n v="12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10-01T00:00:00"/>
    <d v="2012-10-01T00:00:00"/>
    <x v="2"/>
    <s v="UNICEF"/>
    <s v="AVSF"/>
    <s v=" Région de Tombouctou"/>
    <n v="7"/>
    <s v=" Cercle de TOMBOUCTOU"/>
    <n v="711"/>
    <s v=" COM. DE TOMBOUCTOU              "/>
    <n v="120"/>
    <n v="720"/>
    <s v="NFI"/>
    <m/>
    <s v="PDI"/>
    <m/>
    <m/>
    <m/>
    <m/>
    <n v="120"/>
    <n v="240"/>
    <n v="240"/>
    <m/>
    <n v="12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10-18T00:00:00"/>
    <d v="2012-10-18T00:00:00"/>
    <x v="2"/>
    <s v="UNICEF"/>
    <s v="AVSF"/>
    <s v=" Région de Tombouctou"/>
    <n v="7"/>
    <s v=" Cercle de TOMBOUCTOU"/>
    <n v="711"/>
    <s v=" COM. DE TOMBOUCTOU              "/>
    <n v="80"/>
    <n v="480"/>
    <s v="NFI"/>
    <m/>
    <s v="PDI"/>
    <m/>
    <m/>
    <m/>
    <m/>
    <n v="80"/>
    <n v="160"/>
    <n v="160"/>
    <m/>
    <n v="8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10-18T00:00:00"/>
    <d v="2012-10-18T00:00:00"/>
    <x v="2"/>
    <s v="UNICEF"/>
    <s v="AVSF"/>
    <s v=" Région de Tombouctou"/>
    <n v="7"/>
    <s v=" Cercle de TOMBOUCTOU"/>
    <n v="711"/>
    <s v=" COM. DE TOMBOUCTOU              "/>
    <n v="80"/>
    <n v="480"/>
    <s v="NFI"/>
    <m/>
    <s v="PDI"/>
    <m/>
    <m/>
    <m/>
    <m/>
    <n v="80"/>
    <n v="160"/>
    <n v="160"/>
    <m/>
    <n v="8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s v="Décembre"/>
    <s v="Décembre"/>
    <x v="3"/>
    <s v="UNICEF"/>
    <s v="CARE"/>
    <s v=" Région de  Mopti"/>
    <n v="6"/>
    <s v=" Cercle de BANKASS"/>
    <n v="613"/>
    <s v=" COM. DE BANKASS                 "/>
    <n v="180"/>
    <n v="1080"/>
    <s v="NFI"/>
    <m/>
    <s v="PDI"/>
    <m/>
    <m/>
    <m/>
    <m/>
    <n v="280"/>
    <n v="560"/>
    <n v="560"/>
    <m/>
    <n v="28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s v="Décembre"/>
    <s v="Décembre"/>
    <x v="3"/>
    <s v="UNICEF"/>
    <s v="CARE"/>
    <s v=" Région de  Mopti"/>
    <n v="6"/>
    <s v=" Cercle de KORO"/>
    <n v="616"/>
    <s v=" COM. DE KORO                    "/>
    <n v="198"/>
    <n v="1188"/>
    <s v="NFI"/>
    <m/>
    <s v="PDI"/>
    <m/>
    <m/>
    <m/>
    <m/>
    <n v="300"/>
    <n v="600"/>
    <n v="600"/>
    <m/>
    <n v="30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s v="Mai"/>
    <s v="Mai"/>
    <x v="3"/>
    <s v="UNICEF"/>
    <s v="CARE"/>
    <s v=" Région de  Mopti"/>
    <n v="6"/>
    <s v=" Cercle de  BANDIAGARA"/>
    <n v="612"/>
    <s v=" COM. DE BANDIAGARA              "/>
    <n v="152"/>
    <n v="912"/>
    <s v="NFI"/>
    <m/>
    <s v="PDI"/>
    <m/>
    <m/>
    <m/>
    <m/>
    <n v="150"/>
    <n v="300"/>
    <n v="300"/>
    <m/>
    <n v="15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s v="Mai"/>
    <s v="Mai"/>
    <x v="3"/>
    <s v="UNICEF"/>
    <s v="CARE"/>
    <s v=" Région de  Mopti"/>
    <n v="6"/>
    <s v=" Cercle de  DJENNE"/>
    <n v="614"/>
    <s v=" COM. DE DJENNE                  "/>
    <n v="171"/>
    <n v="1026"/>
    <s v="NFI"/>
    <m/>
    <s v="PDI"/>
    <m/>
    <m/>
    <m/>
    <m/>
    <n v="150"/>
    <n v="300"/>
    <n v="300"/>
    <m/>
    <n v="15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s v="Mai"/>
    <s v="Mai"/>
    <x v="3"/>
    <s v="UNICEF"/>
    <s v="CARE"/>
    <s v=" Région de  Mopti"/>
    <n v="6"/>
    <s v=" Cercle de MOPTI"/>
    <n v="611"/>
    <s v=" COM. DE MOPTI                   "/>
    <n v="301"/>
    <n v="1806"/>
    <s v="NFI"/>
    <m/>
    <s v="PDI"/>
    <m/>
    <m/>
    <m/>
    <m/>
    <n v="180"/>
    <n v="360"/>
    <n v="360"/>
    <m/>
    <n v="18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05-11T00:00:00"/>
    <d v="2012-05-11T00:00:00"/>
    <x v="4"/>
    <s v="AVSF"/>
    <s v="Croix Rouge Mali"/>
    <s v=" Région de  Mopti"/>
    <n v="6"/>
    <s v=" Cercle de MOPTI"/>
    <n v="611"/>
    <s v=" COM. DE MOPTI                   "/>
    <n v="145"/>
    <n v="1015"/>
    <s v="NFI"/>
    <m/>
    <s v="PDI"/>
    <m/>
    <m/>
    <m/>
    <m/>
    <m/>
    <n v="290"/>
    <m/>
    <m/>
    <m/>
    <m/>
    <m/>
    <m/>
    <m/>
    <m/>
  </r>
  <r>
    <s v=" 1/06/12"/>
    <d v="2013-07-31T00:00:00"/>
    <x v="4"/>
    <s v="CICR"/>
    <s v="Croix Rouge Mali"/>
    <s v=" Région de  Mopti"/>
    <n v="6"/>
    <s v=" Cercle de MOPTI"/>
    <n v="611"/>
    <s v=" COM. DE MOPTI                   "/>
    <n v="283"/>
    <n v="1676"/>
    <s v="NFI"/>
    <m/>
    <s v="PDI"/>
    <m/>
    <m/>
    <m/>
    <m/>
    <n v="600"/>
    <n v="1800"/>
    <n v="3600"/>
    <m/>
    <n v="600"/>
    <m/>
    <m/>
    <m/>
    <m/>
    <s v="1200 MII+600 Seaux+3600 morceaux de savon+600pièces de six pagnes"/>
  </r>
  <r>
    <s v=" 09/04/12"/>
    <d v="2013-06-30T00:00:00"/>
    <x v="4"/>
    <s v="Croix Rouge Belge"/>
    <s v="Croix Rouge Mali"/>
    <s v=" Région de  Mopti"/>
    <n v="6"/>
    <s v=" Cercle de MOPTI"/>
    <n v="611"/>
    <s v=" COM. DE SOCOURA                 "/>
    <n v="182"/>
    <n v="1298"/>
    <s v="NFI"/>
    <m/>
    <s v="PDI"/>
    <m/>
    <m/>
    <m/>
    <m/>
    <m/>
    <n v="849"/>
    <n v="998"/>
    <m/>
    <m/>
    <m/>
    <m/>
    <m/>
    <m/>
    <s v="715 MII+ eau de javel et grézil"/>
  </r>
  <r>
    <d v="2012-11-30T00:00:00"/>
    <d v="2012-12-18T00:00:00"/>
    <x v="4"/>
    <s v="Croix Rouge Danemark/Suisse"/>
    <s v="Croix Rouge Mali"/>
    <s v=" Région de  Mopti"/>
    <n v="6"/>
    <s v=" Cercle de MOPTI"/>
    <n v="611"/>
    <s v=" COM. DE MOPTI                   "/>
    <n v="2133"/>
    <n v="17064"/>
    <s v="NFI"/>
    <m/>
    <s v="PDI"/>
    <m/>
    <m/>
    <m/>
    <m/>
    <m/>
    <n v="5916"/>
    <n v="5916"/>
    <m/>
    <m/>
    <m/>
    <m/>
    <m/>
    <m/>
    <s v="5916 MII"/>
  </r>
  <r>
    <d v="2012-06-06T00:00:00"/>
    <d v="2012-06-06T00:00:00"/>
    <x v="4"/>
    <s v="USAID"/>
    <s v="Croix Rouge Mali"/>
    <s v=" Région de Bamako"/>
    <n v="1"/>
    <s v=" District de Bamako"/>
    <n v="111"/>
    <s v=" COMMUNE 6      "/>
    <n v="43"/>
    <n v="301"/>
    <s v="NFI"/>
    <m/>
    <s v="PDI"/>
    <m/>
    <m/>
    <m/>
    <m/>
    <m/>
    <n v="85"/>
    <m/>
    <m/>
    <m/>
    <m/>
    <m/>
    <m/>
    <m/>
    <m/>
  </r>
  <r>
    <d v="2012-07-04T00:00:00"/>
    <d v="2012-07-04T00:00:00"/>
    <x v="4"/>
    <s v="USAID"/>
    <s v="Croix Rouge Mali"/>
    <s v=" Région de Kidal"/>
    <n v="9"/>
    <s v=" Cercle de KIDAL"/>
    <n v="911"/>
    <s v=" COM. DE KIDAL                   "/>
    <n v="111"/>
    <n v="777"/>
    <s v="NFI"/>
    <m/>
    <s v="PDI"/>
    <m/>
    <m/>
    <m/>
    <m/>
    <m/>
    <n v="222"/>
    <m/>
    <m/>
    <m/>
    <m/>
    <m/>
    <m/>
    <m/>
    <m/>
  </r>
  <r>
    <d v="2012-07-28T00:00:00"/>
    <d v="2012-07-28T00:00:00"/>
    <x v="4"/>
    <m/>
    <s v="Croix Rouge Mali"/>
    <s v=" Région de Gao"/>
    <n v="8"/>
    <s v=" Cercle de GAO"/>
    <n v="811"/>
    <s v=" COM. DE GAO                     "/>
    <n v="75"/>
    <n v="525"/>
    <s v="NFI"/>
    <m/>
    <s v="PDI"/>
    <m/>
    <m/>
    <m/>
    <m/>
    <m/>
    <n v="150"/>
    <m/>
    <m/>
    <m/>
    <m/>
    <m/>
    <m/>
    <m/>
    <m/>
  </r>
  <r>
    <s v="July 2012"/>
    <s v="Dec 2012"/>
    <x v="5"/>
    <s v="CRS"/>
    <s v="CRS"/>
    <s v=" Région de  Mopti"/>
    <n v="6"/>
    <s v=" Cercle de MOPTI"/>
    <n v="611"/>
    <s v=" COM. DE MOPTI                   "/>
    <m/>
    <m/>
    <s v="CASH"/>
    <m/>
    <s v="PDI"/>
    <m/>
    <m/>
    <m/>
    <m/>
    <m/>
    <m/>
    <m/>
    <m/>
    <m/>
    <m/>
    <m/>
    <m/>
    <m/>
    <m/>
  </r>
  <r>
    <s v="July 2012"/>
    <s v="Dec 2012"/>
    <x v="5"/>
    <s v="CRS"/>
    <s v="CRS"/>
    <s v=" Région de Bamako"/>
    <n v="1"/>
    <s v=" District de Bamako"/>
    <n v="111"/>
    <m/>
    <m/>
    <m/>
    <s v="CASH"/>
    <m/>
    <s v="PDI"/>
    <m/>
    <m/>
    <m/>
    <m/>
    <m/>
    <m/>
    <m/>
    <m/>
    <m/>
    <m/>
    <m/>
    <m/>
    <m/>
    <m/>
  </r>
  <r>
    <d v="2012-05-03T00:00:00"/>
    <d v="2012-05-03T00:00:00"/>
    <x v="5"/>
    <s v="USAID"/>
    <s v="CRS"/>
    <s v=" Région de  Mopti"/>
    <n v="6"/>
    <s v=" Cercle de MOPTI"/>
    <n v="611"/>
    <s v=" COM. DE MOPTI                   "/>
    <n v="12"/>
    <n v="152"/>
    <s v="NFI"/>
    <m/>
    <s v="PDI"/>
    <m/>
    <m/>
    <m/>
    <m/>
    <m/>
    <n v="36"/>
    <n v="36"/>
    <m/>
    <n v="12"/>
    <m/>
    <m/>
    <n v="36"/>
    <m/>
    <s v="SITE DE DISTRIBUTION  HCI  MOPTI"/>
  </r>
  <r>
    <d v="2012-05-04T00:00:00"/>
    <d v="2012-05-04T00:00:00"/>
    <x v="5"/>
    <s v="USAID"/>
    <s v="CRS"/>
    <s v=" Région de  Mopti"/>
    <n v="6"/>
    <s v=" Cercle de MOPTI"/>
    <n v="611"/>
    <s v=" COM. DE MOPTI                   "/>
    <n v="12"/>
    <n v="127"/>
    <s v="NFI"/>
    <m/>
    <s v="PDI"/>
    <m/>
    <m/>
    <m/>
    <m/>
    <m/>
    <n v="36"/>
    <n v="36"/>
    <m/>
    <n v="12"/>
    <m/>
    <m/>
    <n v="36"/>
    <m/>
    <s v="SITE DE DISTRIBUTION  VILLAGE CAN SEVARE"/>
  </r>
  <r>
    <d v="2012-05-07T00:00:00"/>
    <d v="2012-05-07T00:00:00"/>
    <x v="5"/>
    <s v="USAID"/>
    <s v="CRS"/>
    <s v=" Région de  Mopti"/>
    <n v="6"/>
    <s v=" Cercle de MOPTI"/>
    <n v="611"/>
    <s v=" COM. DE MOPTI                   "/>
    <n v="24"/>
    <n v="223"/>
    <s v="NFI"/>
    <m/>
    <s v="PDI"/>
    <m/>
    <m/>
    <m/>
    <m/>
    <m/>
    <n v="72"/>
    <n v="72"/>
    <m/>
    <n v="24"/>
    <m/>
    <m/>
    <n v="72"/>
    <m/>
    <s v="Banguitaba/Waillirde"/>
  </r>
  <r>
    <d v="2012-05-08T00:00:00"/>
    <d v="2012-05-08T00:00:00"/>
    <x v="5"/>
    <s v="USAID"/>
    <s v="CRS"/>
    <s v=" Région de  Mopti"/>
    <n v="6"/>
    <s v=" Cercle de MOPTI"/>
    <n v="611"/>
    <s v=" COM. DE MOPTI                   "/>
    <n v="25"/>
    <n v="294"/>
    <s v="NFI"/>
    <m/>
    <s v="PDI"/>
    <m/>
    <m/>
    <m/>
    <m/>
    <m/>
    <n v="75"/>
    <n v="75"/>
    <m/>
    <n v="25"/>
    <m/>
    <m/>
    <n v="75"/>
    <m/>
    <s v="Mopti Action Mopti, Bamako coura, Village Can"/>
  </r>
  <r>
    <d v="2012-05-09T00:00:00"/>
    <d v="2012-05-09T00:00:00"/>
    <x v="5"/>
    <s v="USAID"/>
    <s v="CRS"/>
    <s v=" Région de  Mopti"/>
    <n v="6"/>
    <s v=" Cercle de MOPTI"/>
    <n v="611"/>
    <s v=" COM. DE MOPTI                   "/>
    <n v="44"/>
    <n v="261"/>
    <s v="NFI"/>
    <m/>
    <s v="PDI"/>
    <m/>
    <m/>
    <m/>
    <m/>
    <m/>
    <n v="132"/>
    <n v="132"/>
    <m/>
    <n v="44"/>
    <m/>
    <m/>
    <n v="132"/>
    <m/>
    <s v="Banguitaba, Socoura, Tiaboli"/>
  </r>
  <r>
    <d v="2012-05-10T00:00:00"/>
    <d v="2012-05-10T00:00:00"/>
    <x v="5"/>
    <s v="USAID"/>
    <s v="CRS"/>
    <s v=" Région de  Mopti"/>
    <n v="6"/>
    <s v=" Cercle de MOPTI"/>
    <n v="611"/>
    <s v=" COM. DE MOPTI                   "/>
    <n v="46"/>
    <n v="402"/>
    <s v="NFI"/>
    <m/>
    <s v="PDI"/>
    <m/>
    <m/>
    <m/>
    <m/>
    <m/>
    <n v="138"/>
    <n v="138"/>
    <m/>
    <n v="46"/>
    <m/>
    <m/>
    <n v="138"/>
    <m/>
    <s v="Bamako coura, Wallirde, village can"/>
  </r>
  <r>
    <d v="2012-05-19T00:00:00"/>
    <d v="2012-05-19T00:00:00"/>
    <x v="5"/>
    <s v="USAID"/>
    <s v="CRS"/>
    <s v=" Région de  Mopti"/>
    <n v="6"/>
    <s v=" Cercle de MOPTI"/>
    <n v="611"/>
    <s v=" COM. DE MOPTI                   "/>
    <n v="37"/>
    <n v="285"/>
    <s v="NFI"/>
    <m/>
    <s v="PDI"/>
    <m/>
    <m/>
    <m/>
    <m/>
    <m/>
    <n v="111"/>
    <n v="111"/>
    <m/>
    <n v="37"/>
    <m/>
    <m/>
    <n v="111"/>
    <m/>
    <s v="Hotel Chauffeur"/>
  </r>
  <r>
    <d v="2012-05-31T00:00:00"/>
    <d v="2012-05-31T00:00:00"/>
    <x v="5"/>
    <s v="USAID"/>
    <s v="CRS"/>
    <s v=" Région de  Mopti"/>
    <n v="6"/>
    <s v=" Cercle de MOPTI"/>
    <n v="611"/>
    <s v=" COM. DE MOPTI                   "/>
    <m/>
    <n v="863"/>
    <s v="NFI"/>
    <m/>
    <s v="PDI"/>
    <m/>
    <m/>
    <m/>
    <m/>
    <m/>
    <n v="0"/>
    <n v="300"/>
    <m/>
    <m/>
    <m/>
    <m/>
    <m/>
    <m/>
    <s v="Soufourlaye/DRS"/>
  </r>
  <r>
    <d v="2012-06-06T00:00:00"/>
    <d v="2012-06-06T00:00:00"/>
    <x v="5"/>
    <s v="USAID"/>
    <s v="CRS"/>
    <s v=" Région de  Mopti"/>
    <n v="6"/>
    <s v=" Cercle de MOPTI"/>
    <n v="611"/>
    <s v=" COM. DE MOPTI                   "/>
    <n v="35"/>
    <n v="510"/>
    <s v="NFI"/>
    <m/>
    <s v="PDI"/>
    <m/>
    <m/>
    <m/>
    <m/>
    <m/>
    <n v="105"/>
    <n v="105"/>
    <m/>
    <n v="35"/>
    <m/>
    <m/>
    <n v="105"/>
    <m/>
    <s v="Village can, Bamako Coura"/>
  </r>
  <r>
    <d v="2012-07-05T00:00:00"/>
    <d v="2012-07-05T00:00:00"/>
    <x v="5"/>
    <s v="USAID"/>
    <s v="CRS"/>
    <s v=" Région de  Mopti"/>
    <n v="6"/>
    <s v=" Cercle de MOPTI"/>
    <n v="611"/>
    <s v=" COM. DE MOPTI                   "/>
    <m/>
    <n v="949"/>
    <s v="NFI"/>
    <m/>
    <s v="PDI"/>
    <m/>
    <m/>
    <m/>
    <m/>
    <m/>
    <n v="90"/>
    <n v="600"/>
    <m/>
    <m/>
    <m/>
    <m/>
    <m/>
    <m/>
    <s v="Eleves deplaces DEF AE Mopti Douentza"/>
  </r>
  <r>
    <d v="2012-08-01T00:00:00"/>
    <d v="2012-08-01T00:00:00"/>
    <x v="5"/>
    <s v="USAID"/>
    <s v="CRS"/>
    <s v=" Région de  Mopti"/>
    <n v="6"/>
    <s v=" Cercle de MOPTI"/>
    <n v="611"/>
    <s v=" COM. DE MOPTI                   "/>
    <n v="16"/>
    <n v="668"/>
    <s v="NFI"/>
    <m/>
    <s v="PDI"/>
    <m/>
    <m/>
    <m/>
    <m/>
    <m/>
    <n v="48"/>
    <n v="48"/>
    <m/>
    <n v="16"/>
    <m/>
    <m/>
    <n v="48"/>
    <m/>
    <s v="H chauffeur-HCI"/>
  </r>
  <r>
    <d v="2012-08-17T00:00:00"/>
    <d v="2012-08-17T00:00:00"/>
    <x v="5"/>
    <s v="USAID"/>
    <s v="CRS"/>
    <s v=" Région de  Mopti"/>
    <n v="6"/>
    <s v=" Cercle de MOPTI"/>
    <n v="611"/>
    <s v=" COM. DE MOPTI                   "/>
    <n v="50"/>
    <m/>
    <s v="NFI"/>
    <m/>
    <s v="PDI"/>
    <m/>
    <m/>
    <m/>
    <m/>
    <m/>
    <n v="90"/>
    <n v="1200"/>
    <m/>
    <m/>
    <m/>
    <m/>
    <n v="150"/>
    <m/>
    <s v="Appui Eleves Deplacés cours de Rattrapage"/>
  </r>
  <r>
    <d v="2012-08-29T00:00:00"/>
    <d v="2012-08-29T00:00:00"/>
    <x v="5"/>
    <s v="USAID"/>
    <s v="CRS"/>
    <s v=" Région de  Mopti"/>
    <n v="6"/>
    <s v=" Cercle de MOPTI"/>
    <n v="611"/>
    <s v=" COM. DE MOPTI                   "/>
    <n v="98"/>
    <n v="1076"/>
    <s v="NFI"/>
    <m/>
    <s v="PDI"/>
    <m/>
    <m/>
    <m/>
    <m/>
    <m/>
    <m/>
    <n v="294"/>
    <m/>
    <m/>
    <m/>
    <m/>
    <n v="294"/>
    <m/>
    <s v="Bamako coura-banguitaba-HCI-Village Innonde Mussawel"/>
  </r>
  <r>
    <d v="2012-09-28T00:00:00"/>
    <d v="2012-09-28T00:00:00"/>
    <x v="5"/>
    <s v="USAID"/>
    <s v="CRS"/>
    <s v=" Région de  Mopti"/>
    <n v="6"/>
    <s v=" Cercle de MOPTI"/>
    <n v="611"/>
    <s v=" COM. DE MOPTI                   "/>
    <n v="32"/>
    <n v="818"/>
    <s v="NFI"/>
    <m/>
    <s v="PDI"/>
    <m/>
    <m/>
    <m/>
    <m/>
    <m/>
    <n v="96"/>
    <n v="96"/>
    <m/>
    <n v="32"/>
    <m/>
    <m/>
    <n v="96"/>
    <m/>
    <s v="Mopti HCI"/>
  </r>
  <r>
    <d v="2012-09-29T00:00:00"/>
    <d v="2012-09-29T00:00:00"/>
    <x v="5"/>
    <s v="USAID"/>
    <s v="CRS"/>
    <s v=" Région de  Mopti"/>
    <n v="6"/>
    <s v=" Cercle de MOPTI"/>
    <n v="611"/>
    <s v=" COM. DE MOPTI                   "/>
    <n v="62"/>
    <n v="1783"/>
    <s v="NFI"/>
    <m/>
    <s v="PDI"/>
    <m/>
    <m/>
    <m/>
    <m/>
    <m/>
    <n v="186"/>
    <n v="186"/>
    <m/>
    <n v="62"/>
    <m/>
    <m/>
    <n v="186"/>
    <m/>
    <s v="Banguitaba"/>
  </r>
  <r>
    <d v="2012-04-14T00:00:00"/>
    <d v="2012-04-14T00:00:00"/>
    <x v="6"/>
    <s v="DGPC"/>
    <s v="DGPC"/>
    <s v=" Région de  Mopti"/>
    <n v="6"/>
    <s v=" Cercle de MOPTI"/>
    <n v="611"/>
    <s v=" COM. DE MOPTI                   "/>
    <n v="7"/>
    <n v="42"/>
    <s v="NFI"/>
    <m/>
    <s v="PDI"/>
    <n v="7"/>
    <m/>
    <m/>
    <m/>
    <m/>
    <m/>
    <m/>
    <m/>
    <m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05-01T00:00:00"/>
    <d v="2012-05-01T00:00:00"/>
    <x v="6"/>
    <s v="Plan Mali"/>
    <s v="DGPC"/>
    <s v=" Région de  Mopti"/>
    <n v="6"/>
    <s v=" Cercle de MOPTI"/>
    <n v="611"/>
    <s v=" COM. DE MOPTI                   "/>
    <n v="10"/>
    <n v="60"/>
    <s v="NFI"/>
    <m/>
    <s v="PDI"/>
    <n v="10"/>
    <n v="50"/>
    <m/>
    <m/>
    <m/>
    <n v="50"/>
    <m/>
    <m/>
    <m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06-08T00:00:00"/>
    <d v="2012-06-08T00:00:00"/>
    <x v="6"/>
    <s v="UNICEF"/>
    <s v="DGPC"/>
    <s v=" Région de  Mopti"/>
    <n v="6"/>
    <s v=" Cercle de MOPTI"/>
    <n v="611"/>
    <s v=" COM. DE SEVARE"/>
    <n v="80"/>
    <n v="480"/>
    <s v="NFI"/>
    <m/>
    <s v="PDI"/>
    <m/>
    <m/>
    <m/>
    <m/>
    <n v="80"/>
    <n v="160"/>
    <n v="160"/>
    <m/>
    <n v="8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06-16T00:00:00"/>
    <d v="2012-06-16T00:00:00"/>
    <x v="6"/>
    <s v="UNICEF"/>
    <s v="DGPC"/>
    <s v=" Région de  Mopti"/>
    <n v="6"/>
    <s v=" Cercle de MOPTI"/>
    <n v="611"/>
    <s v=" COM. DE MOPTI                   "/>
    <n v="40"/>
    <n v="240"/>
    <s v="NFI"/>
    <m/>
    <s v="PDI"/>
    <m/>
    <m/>
    <m/>
    <m/>
    <m/>
    <n v="80"/>
    <n v="80"/>
    <m/>
    <n v="8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09-26T00:00:00"/>
    <d v="2012-09-26T00:00:00"/>
    <x v="6"/>
    <s v="UNICEF"/>
    <s v="DGPC"/>
    <s v=" Région de Sikasso"/>
    <n v="4"/>
    <s v=" Cercle de KOUTIALA"/>
    <n v="415"/>
    <s v=" COM. DE SOROBASSO               "/>
    <n v="82"/>
    <n v="492"/>
    <s v="NFI"/>
    <m/>
    <s v="PDI"/>
    <m/>
    <m/>
    <m/>
    <m/>
    <n v="280"/>
    <n v="560"/>
    <n v="560"/>
    <m/>
    <n v="28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09-26T00:00:00"/>
    <d v="2012-09-26T00:00:00"/>
    <x v="6"/>
    <s v="UNICEF"/>
    <s v="DGPC"/>
    <s v=" Région de Sikasso"/>
    <n v="4"/>
    <s v=" Cercle de KOUTIALA"/>
    <n v="415"/>
    <s v=" COM. DE ZANFIGUE                "/>
    <n v="44"/>
    <n v="264"/>
    <s v="NFI"/>
    <m/>
    <s v="PDI"/>
    <m/>
    <m/>
    <m/>
    <m/>
    <n v="40"/>
    <n v="80"/>
    <n v="80"/>
    <m/>
    <n v="4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09-27T00:00:00"/>
    <d v="2012-09-27T00:00:00"/>
    <x v="6"/>
    <s v="UNICEF"/>
    <s v="DGPC"/>
    <s v=" Région de Kayes"/>
    <n v="2"/>
    <s v=" Cercle de KAYES"/>
    <n v="211"/>
    <s v=" COM. DE SOUMPOU   "/>
    <n v="45"/>
    <n v="270"/>
    <s v="NFI"/>
    <m/>
    <s v="PDI"/>
    <m/>
    <m/>
    <m/>
    <m/>
    <n v="80"/>
    <n v="160"/>
    <n v="160"/>
    <m/>
    <n v="8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09-27T00:00:00"/>
    <d v="2012-09-27T00:00:00"/>
    <x v="6"/>
    <s v="UNICEF"/>
    <s v="DGPC"/>
    <s v=" Région de Koulikoro"/>
    <n v="3"/>
    <s v=" Cercle de KATI"/>
    <n v="315"/>
    <s v=" COM. DE OUELESSEBOUGOU          "/>
    <n v="4"/>
    <n v="24"/>
    <s v="NFI"/>
    <m/>
    <s v="PDI"/>
    <m/>
    <m/>
    <m/>
    <m/>
    <n v="80"/>
    <n v="160"/>
    <n v="160"/>
    <m/>
    <n v="8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09-28T00:00:00"/>
    <d v="2012-09-28T00:00:00"/>
    <x v="6"/>
    <s v="UNICEF"/>
    <s v="DGPC"/>
    <s v=" Région de Kayes"/>
    <n v="2"/>
    <s v=" Cercle de DIEMA"/>
    <n v="213"/>
    <s v=" COM. DE DIEMA                   "/>
    <n v="21"/>
    <n v="126"/>
    <s v="NFI"/>
    <m/>
    <s v="PDI"/>
    <m/>
    <m/>
    <m/>
    <m/>
    <n v="160"/>
    <n v="360"/>
    <n v="320"/>
    <m/>
    <n v="16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10-01T00:00:00"/>
    <d v="2012-10-01T00:00:00"/>
    <x v="6"/>
    <s v="UNICEF"/>
    <s v="DGPC"/>
    <s v=" Région de Bamako"/>
    <n v="1"/>
    <s v=" District de Bamako"/>
    <n v="111"/>
    <m/>
    <n v="50"/>
    <n v="300"/>
    <s v="NFI"/>
    <m/>
    <s v="PDI"/>
    <m/>
    <m/>
    <m/>
    <m/>
    <n v="50"/>
    <n v="100"/>
    <n v="100"/>
    <m/>
    <n v="5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10-01T00:00:00"/>
    <d v="2012-10-01T00:00:00"/>
    <x v="6"/>
    <s v="UNICEF"/>
    <s v="DGPC"/>
    <s v=" Région de Bamako"/>
    <n v="1"/>
    <s v=" District de Bamako"/>
    <n v="111"/>
    <m/>
    <n v="212"/>
    <n v="1272"/>
    <s v="NFI"/>
    <m/>
    <s v="PDI"/>
    <m/>
    <m/>
    <m/>
    <m/>
    <n v="212"/>
    <n v="424"/>
    <n v="424"/>
    <m/>
    <n v="212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10-06T00:00:00"/>
    <d v="2012-10-06T00:00:00"/>
    <x v="6"/>
    <s v="UNICEF"/>
    <s v="DGPC"/>
    <s v=" Région de Bamako"/>
    <n v="1"/>
    <s v=" District de Bamako"/>
    <n v="111"/>
    <m/>
    <n v="8"/>
    <n v="48"/>
    <s v="NFI"/>
    <m/>
    <s v="PDI"/>
    <m/>
    <m/>
    <m/>
    <m/>
    <m/>
    <n v="17"/>
    <n v="17"/>
    <m/>
    <n v="17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10-07T00:00:00"/>
    <d v="2012-10-07T00:00:00"/>
    <x v="6"/>
    <s v="UNICEF"/>
    <s v="DGPC"/>
    <s v=" Région de Koulikoro"/>
    <n v="3"/>
    <s v=" Cercle de KOULIKORO"/>
    <n v="311"/>
    <s v=" COM. DE KOULIKORO               "/>
    <n v="2"/>
    <n v="12"/>
    <s v="NFI"/>
    <m/>
    <s v="PDI"/>
    <m/>
    <m/>
    <m/>
    <m/>
    <m/>
    <n v="4"/>
    <n v="4"/>
    <m/>
    <n v="4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10-09T00:00:00"/>
    <d v="2012-10-09T00:00:00"/>
    <x v="6"/>
    <s v="UNICEF"/>
    <s v="DGPC"/>
    <s v=" Région de  Mopti"/>
    <n v="6"/>
    <s v=" Cercle de MOPTI"/>
    <n v="611"/>
    <s v=" COM. DE MOPTI                   "/>
    <n v="45"/>
    <n v="270"/>
    <s v="NFI"/>
    <m/>
    <s v="PDI"/>
    <m/>
    <m/>
    <m/>
    <m/>
    <m/>
    <n v="89"/>
    <n v="89"/>
    <m/>
    <n v="89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10-11T00:00:00"/>
    <d v="2012-10-11T00:00:00"/>
    <x v="6"/>
    <s v="UNICEF"/>
    <s v="DGPC"/>
    <s v=" Région de Sikasso"/>
    <n v="4"/>
    <s v=" Cercle de SIKASSO    "/>
    <n v="411"/>
    <s v=" COM. DE SIKASSO                 "/>
    <n v="33"/>
    <n v="198"/>
    <s v="NFI"/>
    <m/>
    <s v="PDI"/>
    <m/>
    <m/>
    <m/>
    <m/>
    <m/>
    <n v="66"/>
    <n v="66"/>
    <m/>
    <n v="66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10-12T00:00:00"/>
    <d v="2012-10-12T00:00:00"/>
    <x v="6"/>
    <s v="UNICEF"/>
    <s v="DGPC"/>
    <s v=" Région de Kayes"/>
    <n v="2"/>
    <s v=" Cercle de KAYES"/>
    <n v="211"/>
    <s v=" COM. DE KAYES                   "/>
    <n v="33"/>
    <n v="198"/>
    <s v="NFI"/>
    <m/>
    <s v="PDI"/>
    <m/>
    <m/>
    <m/>
    <m/>
    <m/>
    <n v="66"/>
    <n v="66"/>
    <m/>
    <n v="66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12-08T00:00:00"/>
    <d v="2012-12-08T00:00:00"/>
    <x v="6"/>
    <s v="UNICEF"/>
    <s v="DGPC"/>
    <s v=" Région de Ségou"/>
    <n v="5"/>
    <s v=" Cercle de SEGOU"/>
    <n v="511"/>
    <s v=" COM. DE SEGOU                   "/>
    <n v="255"/>
    <n v="1530"/>
    <s v="NFI"/>
    <m/>
    <s v="PDI"/>
    <m/>
    <m/>
    <m/>
    <m/>
    <m/>
    <n v="510"/>
    <n v="510"/>
    <m/>
    <n v="51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3-01-02T00:00:00"/>
    <d v="2013-01-04T00:00:00"/>
    <x v="7"/>
    <s v="IOM"/>
    <s v="IOM"/>
    <s v=" Région de Bamako"/>
    <n v="1"/>
    <s v=" District de Bamako"/>
    <n v="111"/>
    <s v="Commune 3 et 4 "/>
    <n v="359"/>
    <n v="2154"/>
    <s v="NFI"/>
    <m/>
    <s v="PDI"/>
    <m/>
    <m/>
    <m/>
    <m/>
    <m/>
    <n v="718"/>
    <n v="718"/>
    <m/>
    <n v="718"/>
    <n v="718"/>
    <n v="718"/>
    <n v="718"/>
    <m/>
    <s v="KIT CUISINE:  Marmites 7kgs, Tasses Inox, 3 Gobelets métaliques, 3 Cuillères métaliques,Louches métaliques, 20 Savons de ménage, Bouilloires, 90 PUR "/>
  </r>
  <r>
    <d v="2012-11-02T00:00:00"/>
    <d v="2012-11-02T00:00:00"/>
    <x v="8"/>
    <s v="UNICEF"/>
    <s v="IRC"/>
    <s v=" Région de Gao"/>
    <n v="8"/>
    <s v=" Cercle de ANSONGO"/>
    <n v="812"/>
    <s v=" COM. DE ANSONGO                 "/>
    <n v="1000"/>
    <n v="6000"/>
    <s v="NFI"/>
    <m/>
    <s v="PDI"/>
    <m/>
    <m/>
    <m/>
    <m/>
    <n v="200"/>
    <n v="400"/>
    <n v="400"/>
    <m/>
    <n v="20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04-19T00:00:00"/>
    <d v="2012-04-19T00:00:00"/>
    <x v="9"/>
    <s v="UNICEF"/>
    <s v="Médecin du Monde Belgique"/>
    <s v=" Région de Gao"/>
    <n v="8"/>
    <s v=" Cercle de BOUREM"/>
    <n v="813"/>
    <s v=" COM. DE BOUREM                  "/>
    <n v="100"/>
    <n v="600"/>
    <s v="NFI"/>
    <m/>
    <s v="PDI"/>
    <m/>
    <m/>
    <m/>
    <m/>
    <n v="200"/>
    <n v="400"/>
    <n v="400"/>
    <m/>
    <n v="20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07-06T00:00:00"/>
    <d v="2012-07-06T00:00:00"/>
    <x v="9"/>
    <s v="UNICEF"/>
    <s v="Médecin du Monde Belgique"/>
    <s v=" Région de Gao"/>
    <n v="8"/>
    <s v=" Cercle de MENAKA"/>
    <n v="814"/>
    <s v=" COM. DE MENAKA                  "/>
    <n v="200"/>
    <n v="1200"/>
    <s v="NFI"/>
    <m/>
    <s v="PDI"/>
    <m/>
    <m/>
    <m/>
    <m/>
    <n v="100"/>
    <n v="200"/>
    <n v="200"/>
    <m/>
    <n v="10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04-11T00:00:00"/>
    <d v="2012-04-11T00:00:00"/>
    <x v="10"/>
    <s v="UNICEF"/>
    <s v="Médecin du Monde France"/>
    <s v=" Région de Kidal"/>
    <n v="9"/>
    <s v=" Cercle de ABEIBARA"/>
    <n v="912"/>
    <s v=" COM. DE  TINZAWATENE            "/>
    <n v="300"/>
    <n v="1800"/>
    <s v="NFI"/>
    <m/>
    <s v="PDI"/>
    <m/>
    <m/>
    <m/>
    <m/>
    <n v="400"/>
    <n v="800"/>
    <n v="800"/>
    <m/>
    <n v="40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04-11T00:00:00"/>
    <d v="2012-04-11T00:00:00"/>
    <x v="10"/>
    <s v="UNICEF"/>
    <s v="Médecin du Monde France"/>
    <s v=" Région de Tombouctou"/>
    <n v="7"/>
    <s v=" Cercle de TOMBOUCTOU"/>
    <n v="711"/>
    <s v=" COM. DE TOMBOUCTOU              "/>
    <n v="200"/>
    <n v="1200"/>
    <s v="NFI"/>
    <m/>
    <s v="PDI"/>
    <m/>
    <m/>
    <m/>
    <m/>
    <n v="200"/>
    <n v="400"/>
    <n v="400"/>
    <m/>
    <n v="20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04-11T00:00:00"/>
    <d v="2012-04-11T00:00:00"/>
    <x v="10"/>
    <s v="UNICEF"/>
    <s v="Médecin du Monde France"/>
    <s v=" Région de Tombouctou"/>
    <n v="7"/>
    <s v=" Cercle de TOMBOUCTOU"/>
    <n v="711"/>
    <s v=" COM. DE TOMBOUCTOU              "/>
    <n v="200"/>
    <n v="1200"/>
    <s v="NFI"/>
    <m/>
    <s v="PDI"/>
    <m/>
    <m/>
    <m/>
    <m/>
    <n v="200"/>
    <n v="400"/>
    <n v="400"/>
    <m/>
    <n v="20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s v="Du 5 /11/2012"/>
    <d v="2012-11-30T00:00:00"/>
    <x v="11"/>
    <s v="UNHCR"/>
    <s v="Intersos"/>
    <s v=" Région de  Mopti"/>
    <n v="6"/>
    <s v=" Cercle de MOPTI"/>
    <n v="611"/>
    <s v=" COM. DE SOCOURA                 "/>
    <n v="2500"/>
    <n v="15000"/>
    <s v="NFI"/>
    <m/>
    <s v="PDI"/>
    <m/>
    <m/>
    <m/>
    <n v="2"/>
    <n v="10"/>
    <n v="3100"/>
    <n v="3100"/>
    <m/>
    <n v="383"/>
    <n v="600"/>
    <n v="2856"/>
    <n v="4500"/>
    <m/>
    <s v="Composition de menages: 6,5 perspnnes. Composition du kit de cuisine: 2 marmites,4 cuilleres a soupe, 1 couteau, 1 louche, 2 tasses,  "/>
  </r>
  <r>
    <s v="Du 01/12 /2012"/>
    <d v="2012-12-31T00:00:00"/>
    <x v="11"/>
    <s v="UNHCR"/>
    <s v="Intersos"/>
    <s v=" Région de  Mopti"/>
    <n v="6"/>
    <s v=" Cercle de MOPTI"/>
    <n v="611"/>
    <s v=" COM. DE SOCOURA                 "/>
    <n v="1864"/>
    <n v="11184"/>
    <s v="NFI"/>
    <m/>
    <s v="PDI"/>
    <m/>
    <m/>
    <m/>
    <m/>
    <n v="1665"/>
    <n v="5440"/>
    <n v="2625"/>
    <m/>
    <n v="326"/>
    <n v="3800"/>
    <m/>
    <n v="1200"/>
    <m/>
    <s v="Composition de menages: 6,5 perspnnes. Composition du kit de cuisine: 2 marmites,4 cuilleres a soupe, 1 couteau, 1 louche, 2 tasses,  3 bidons de 10 litres"/>
  </r>
  <r>
    <s v=" 30/01/2013"/>
    <s v=" 30/01/2013"/>
    <x v="11"/>
    <s v="UNHCR"/>
    <s v="Intersos"/>
    <s v=" Région de  Mopti"/>
    <n v="6"/>
    <s v=" Cercle de MOPTI"/>
    <n v="611"/>
    <s v=" COM. DE SOCOURA                 "/>
    <n v="34"/>
    <n v="221"/>
    <s v="NFI"/>
    <m/>
    <s v="PDI"/>
    <m/>
    <m/>
    <m/>
    <m/>
    <n v="34"/>
    <n v="68"/>
    <n v="68"/>
    <m/>
    <n v="34"/>
    <n v="34"/>
    <n v="68"/>
    <n v="68"/>
    <m/>
    <s v="Composition de menages: 6,5 perspnnes. Composition du kit de cuisine: 2 marmites,3 cuilleres a soupe, 1 couteau, 1 louche,  1 bidon de 10 litres"/>
  </r>
  <r>
    <d v="2012-08-01T00:00:00"/>
    <d v="2013-08-15T00:00:00"/>
    <x v="12"/>
    <s v="Cooperation néelandaise"/>
    <s v="USAID"/>
    <s v=" Région de  Mopti"/>
    <n v="6"/>
    <s v=" Cercle de MOPTI"/>
    <n v="611"/>
    <s v=" COM. DE FATOMA                  "/>
    <n v="192"/>
    <n v="1536"/>
    <s v="NFI"/>
    <m/>
    <s v="PDI"/>
    <m/>
    <m/>
    <m/>
    <m/>
    <m/>
    <n v="384"/>
    <n v="384"/>
    <m/>
    <n v="192"/>
    <m/>
    <m/>
    <m/>
    <m/>
    <s v="192 morceaux savon+192L eau de javel+192L Grézil"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561">
  <r>
    <d v="2012-10-05T00:00:00"/>
    <d v="2012-10-05T00:00:00"/>
    <x v="0"/>
    <s v="ACTED"/>
    <s v="ACTED"/>
    <s v=" Région de Bamako"/>
    <n v="1"/>
    <s v=" District de Bamako"/>
    <n v="111"/>
    <s v=" COMMUNE 5"/>
    <n v="415"/>
    <n v="3674"/>
    <s v="NFI"/>
    <m/>
    <s v="PDI"/>
    <m/>
    <n v="415"/>
    <m/>
    <m/>
    <m/>
    <n v="830"/>
    <n v="830"/>
    <m/>
    <n v="415"/>
    <m/>
    <m/>
    <n v="830"/>
    <m/>
    <s v="Composition du kit de cuisine: 1 bassine, 1 grande tasse, 1 seau en plastique, 1 paquet de savon, 1 plateau, 1 louche, 6 gobelets, 6 cuillères, 1 couteau de cuisine, 2 marmites, 1 jerrican, 1 fourneau"/>
  </r>
  <r>
    <d v="2012-10-05T00:00:00"/>
    <d v="2012-10-05T00:00:00"/>
    <x v="0"/>
    <s v="ACTED"/>
    <s v="ACTED"/>
    <s v=" Région de Koulikoro"/>
    <n v="3"/>
    <s v=" Cercle de KATI"/>
    <n v="315"/>
    <s v=" COM. DE KALABANCORO             "/>
    <n v="285"/>
    <n v="798"/>
    <s v="NFI"/>
    <m/>
    <s v="PDI"/>
    <m/>
    <n v="285"/>
    <m/>
    <m/>
    <m/>
    <n v="570"/>
    <n v="570"/>
    <m/>
    <n v="285"/>
    <m/>
    <m/>
    <n v="570"/>
    <m/>
    <s v="Composition du kit de cuisine: 1 bassine, 1 grande tasse, 1 seau en plastique, 1 paquet de savon, 1 plateau, 1 louche, 6 gobelets, 6 cuillères, 1 couteau de cuisine, 2 marmites, 1 jerrican, 1 fourneau"/>
  </r>
  <r>
    <d v="2012-10-19T00:00:00"/>
    <d v="2012-10-19T00:00:00"/>
    <x v="0"/>
    <s v="UNICEF"/>
    <s v="ACTED"/>
    <s v=" Région de Ségou"/>
    <n v="5"/>
    <s v=" Cercle de  TOMINIAN"/>
    <n v="517"/>
    <s v=" COM. DE TOMINIAN                "/>
    <n v="262"/>
    <n v="1572"/>
    <s v="NFI"/>
    <m/>
    <s v="PDI"/>
    <m/>
    <m/>
    <m/>
    <m/>
    <n v="262"/>
    <n v="524"/>
    <n v="524"/>
    <m/>
    <n v="262"/>
    <m/>
    <m/>
    <m/>
    <m/>
    <s v="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10-19T00:00:00"/>
    <d v="2012-10-19T00:00:00"/>
    <x v="0"/>
    <s v="UNICEF"/>
    <s v="ACTED"/>
    <s v=" Région de Ségou"/>
    <n v="5"/>
    <s v=" Cercle de  TOMINIAN"/>
    <n v="517"/>
    <s v=" COM. DE  FANGASSO               "/>
    <n v="284"/>
    <n v="1704"/>
    <s v="NFI"/>
    <m/>
    <s v="PDI"/>
    <m/>
    <m/>
    <m/>
    <m/>
    <n v="284"/>
    <n v="568"/>
    <n v="568"/>
    <m/>
    <n v="284"/>
    <m/>
    <m/>
    <m/>
    <m/>
    <s v="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10-19T00:00:00"/>
    <d v="2012-10-19T00:00:00"/>
    <x v="0"/>
    <s v="UNICEF"/>
    <s v="ACTED"/>
    <s v=" Région de Ségou"/>
    <n v="5"/>
    <s v=" Cercle de  TOMINIAN"/>
    <n v="517"/>
    <s v=" COM. DE OUAN                    "/>
    <n v="51"/>
    <n v="306"/>
    <s v="NFI"/>
    <m/>
    <s v="PDI"/>
    <m/>
    <m/>
    <m/>
    <m/>
    <n v="51"/>
    <n v="102"/>
    <n v="102"/>
    <m/>
    <n v="51"/>
    <m/>
    <m/>
    <m/>
    <m/>
    <s v="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04-07T00:00:00"/>
    <d v="2012-04-07T00:00:00"/>
    <x v="1"/>
    <s v="UNICEF"/>
    <s v="ALIMA"/>
    <s v=" Région de Tombouctou"/>
    <n v="7"/>
    <s v=" Cercle de TOMBOUCTOU"/>
    <n v="711"/>
    <s v=" COM. DE TOMBOUCTOU              "/>
    <n v="200"/>
    <n v="1200"/>
    <s v="NFI"/>
    <m/>
    <s v="PDI"/>
    <m/>
    <m/>
    <m/>
    <m/>
    <n v="200"/>
    <n v="400"/>
    <n v="400"/>
    <m/>
    <n v="20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10-30T00:00:00"/>
    <d v="2012-10-31T00:00:00"/>
    <x v="1"/>
    <s v="UNICEF"/>
    <s v="ALIMA"/>
    <s v=" Région de Tombouctou"/>
    <n v="7"/>
    <s v=" Cercle de DIRE"/>
    <n v="712"/>
    <s v=" COM. DE DIRE                    "/>
    <n v="100"/>
    <n v="600"/>
    <s v="NFI"/>
    <m/>
    <s v="PDI"/>
    <m/>
    <m/>
    <m/>
    <m/>
    <n v="100"/>
    <n v="200"/>
    <n v="200"/>
    <m/>
    <n v="10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09-27T00:00:00"/>
    <d v="2012-09-27T00:00:00"/>
    <x v="2"/>
    <s v="UNICEF"/>
    <s v="AVSF"/>
    <s v=" Région de Tombouctou"/>
    <n v="7"/>
    <s v=" Cercle de TOMBOUCTOU"/>
    <n v="711"/>
    <s v=" COM. DE  BER                    "/>
    <n v="200"/>
    <n v="1200"/>
    <s v="NFI"/>
    <m/>
    <s v="PDI"/>
    <m/>
    <m/>
    <m/>
    <m/>
    <n v="200"/>
    <n v="400"/>
    <n v="400"/>
    <m/>
    <n v="20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09-28T00:00:00"/>
    <d v="2012-09-28T00:00:00"/>
    <x v="2"/>
    <s v="UNICEF"/>
    <s v="AVSF"/>
    <s v=" Région de Tombouctou"/>
    <n v="7"/>
    <s v=" Cercle de TOMBOUCTOU"/>
    <n v="711"/>
    <s v=" COM. DE TOMBOUCTOU              "/>
    <n v="200"/>
    <n v="1200"/>
    <s v="NFI"/>
    <m/>
    <s v="PDI"/>
    <m/>
    <m/>
    <m/>
    <m/>
    <n v="200"/>
    <n v="400"/>
    <n v="400"/>
    <m/>
    <n v="20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10-01T00:00:00"/>
    <d v="2012-10-01T00:00:00"/>
    <x v="2"/>
    <s v="UNICEF"/>
    <s v="AVSF"/>
    <s v=" Région de Tombouctou"/>
    <n v="7"/>
    <s v=" Cercle de TOMBOUCTOU"/>
    <n v="711"/>
    <s v=" COM. DE TOMBOUCTOU              "/>
    <n v="120"/>
    <n v="720"/>
    <s v="NFI"/>
    <m/>
    <s v="PDI"/>
    <m/>
    <m/>
    <m/>
    <m/>
    <n v="120"/>
    <n v="240"/>
    <n v="240"/>
    <m/>
    <n v="12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10-01T00:00:00"/>
    <d v="2012-10-01T00:00:00"/>
    <x v="2"/>
    <s v="UNICEF"/>
    <s v="AVSF"/>
    <s v=" Région de Tombouctou"/>
    <n v="7"/>
    <s v=" Cercle de TOMBOUCTOU"/>
    <n v="711"/>
    <s v=" COM. DE TOMBOUCTOU              "/>
    <n v="120"/>
    <n v="720"/>
    <s v="NFI"/>
    <m/>
    <s v="PDI"/>
    <m/>
    <m/>
    <m/>
    <m/>
    <n v="120"/>
    <n v="240"/>
    <n v="240"/>
    <m/>
    <n v="12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10-18T00:00:00"/>
    <d v="2012-10-18T00:00:00"/>
    <x v="2"/>
    <s v="UNICEF"/>
    <s v="AVSF"/>
    <s v=" Région de Tombouctou"/>
    <n v="7"/>
    <s v=" Cercle de TOMBOUCTOU"/>
    <n v="711"/>
    <s v=" COM. DE TOMBOUCTOU              "/>
    <n v="80"/>
    <n v="480"/>
    <s v="NFI"/>
    <m/>
    <s v="PDI"/>
    <m/>
    <m/>
    <m/>
    <m/>
    <n v="80"/>
    <n v="160"/>
    <n v="160"/>
    <m/>
    <n v="8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10-18T00:00:00"/>
    <d v="2012-10-18T00:00:00"/>
    <x v="2"/>
    <s v="UNICEF"/>
    <s v="AVSF"/>
    <s v=" Région de Tombouctou"/>
    <n v="7"/>
    <s v=" Cercle de TOMBOUCTOU"/>
    <n v="711"/>
    <s v=" COM. DE TOMBOUCTOU              "/>
    <n v="80"/>
    <n v="480"/>
    <s v="NFI"/>
    <m/>
    <s v="PDI"/>
    <m/>
    <m/>
    <m/>
    <m/>
    <n v="80"/>
    <n v="160"/>
    <n v="160"/>
    <m/>
    <n v="8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s v="Décembre"/>
    <s v="Décembre"/>
    <x v="3"/>
    <s v="UNICEF"/>
    <s v="CARE"/>
    <s v=" Région de  Mopti"/>
    <n v="6"/>
    <s v=" Cercle de BANKASS"/>
    <n v="613"/>
    <s v=" COM. DE BANKASS                 "/>
    <n v="180"/>
    <n v="1080"/>
    <s v="NFI"/>
    <m/>
    <s v="PDI"/>
    <m/>
    <m/>
    <m/>
    <m/>
    <n v="280"/>
    <n v="560"/>
    <n v="560"/>
    <m/>
    <n v="28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s v="Décembre"/>
    <s v="Décembre"/>
    <x v="3"/>
    <s v="UNICEF"/>
    <s v="CARE"/>
    <s v=" Région de  Mopti"/>
    <n v="6"/>
    <s v=" Cercle de KORO"/>
    <n v="616"/>
    <s v=" COM. DE KORO                    "/>
    <n v="198"/>
    <n v="1188"/>
    <s v="NFI"/>
    <m/>
    <s v="PDI"/>
    <m/>
    <m/>
    <m/>
    <m/>
    <n v="300"/>
    <n v="600"/>
    <n v="600"/>
    <m/>
    <n v="30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s v="Mai"/>
    <s v="Mai"/>
    <x v="3"/>
    <s v="UNICEF"/>
    <s v="CARE"/>
    <s v=" Région de  Mopti"/>
    <n v="6"/>
    <s v=" Cercle de  BANDIAGARA"/>
    <n v="612"/>
    <s v=" COM. DE BANDIAGARA              "/>
    <n v="152"/>
    <n v="912"/>
    <s v="NFI"/>
    <m/>
    <s v="PDI"/>
    <m/>
    <m/>
    <m/>
    <m/>
    <n v="150"/>
    <n v="300"/>
    <n v="300"/>
    <m/>
    <n v="15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s v="Mai"/>
    <s v="Mai"/>
    <x v="3"/>
    <s v="UNICEF"/>
    <s v="CARE"/>
    <s v=" Région de  Mopti"/>
    <n v="6"/>
    <s v=" Cercle de  DJENNE"/>
    <n v="614"/>
    <s v=" COM. DE DJENNE                  "/>
    <n v="171"/>
    <n v="1026"/>
    <s v="NFI"/>
    <m/>
    <s v="PDI"/>
    <m/>
    <m/>
    <m/>
    <m/>
    <n v="150"/>
    <n v="300"/>
    <n v="300"/>
    <m/>
    <n v="15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s v="Mai"/>
    <s v="Mai"/>
    <x v="3"/>
    <s v="UNICEF"/>
    <s v="CARE"/>
    <s v=" Région de  Mopti"/>
    <n v="6"/>
    <s v=" Cercle de MOPTI"/>
    <n v="611"/>
    <s v=" COM. DE MOPTI                   "/>
    <n v="301"/>
    <n v="1806"/>
    <s v="NFI"/>
    <m/>
    <s v="PDI"/>
    <m/>
    <m/>
    <m/>
    <m/>
    <n v="180"/>
    <n v="360"/>
    <n v="360"/>
    <m/>
    <n v="18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05-11T00:00:00"/>
    <d v="2012-05-11T00:00:00"/>
    <x v="4"/>
    <s v="AVSF"/>
    <s v="Croix Rouge Mali"/>
    <s v=" Région de  Mopti"/>
    <n v="6"/>
    <s v=" Cercle de MOPTI"/>
    <n v="611"/>
    <s v=" COM. DE MOPTI                   "/>
    <n v="145"/>
    <n v="1015"/>
    <s v="NFI"/>
    <m/>
    <s v="PDI"/>
    <m/>
    <m/>
    <m/>
    <m/>
    <m/>
    <n v="290"/>
    <m/>
    <m/>
    <m/>
    <m/>
    <m/>
    <m/>
    <m/>
    <m/>
  </r>
  <r>
    <s v=" 1/06/12"/>
    <d v="2013-07-31T00:00:00"/>
    <x v="4"/>
    <s v="CICR"/>
    <s v="Croix Rouge Mali"/>
    <s v=" Région de  Mopti"/>
    <n v="6"/>
    <s v=" Cercle de MOPTI"/>
    <n v="611"/>
    <s v=" COM. DE MOPTI                   "/>
    <n v="283"/>
    <n v="1676"/>
    <s v="NFI"/>
    <m/>
    <s v="PDI"/>
    <m/>
    <m/>
    <m/>
    <m/>
    <n v="600"/>
    <n v="1800"/>
    <n v="3600"/>
    <m/>
    <n v="600"/>
    <m/>
    <m/>
    <m/>
    <m/>
    <s v="1200 MII+600 Seaux+3600 morceaux de savon+600pièces de six pagnes"/>
  </r>
  <r>
    <s v=" 09/04/12"/>
    <d v="2013-06-30T00:00:00"/>
    <x v="4"/>
    <s v="Croix Rouge Belge"/>
    <s v="Croix Rouge Mali"/>
    <s v=" Région de  Mopti"/>
    <n v="6"/>
    <s v=" Cercle de MOPTI"/>
    <n v="611"/>
    <s v=" COM. DE SOCOURA                 "/>
    <n v="182"/>
    <n v="1298"/>
    <s v="NFI"/>
    <m/>
    <s v="PDI"/>
    <m/>
    <m/>
    <m/>
    <m/>
    <m/>
    <n v="849"/>
    <n v="998"/>
    <m/>
    <m/>
    <m/>
    <m/>
    <m/>
    <m/>
    <s v="715 MII+ eau de javel et grézil"/>
  </r>
  <r>
    <d v="2012-11-30T00:00:00"/>
    <d v="2012-12-18T00:00:00"/>
    <x v="4"/>
    <s v="Croix Rouge Danemark/Suisse"/>
    <s v="Croix Rouge Mali"/>
    <s v=" Région de  Mopti"/>
    <n v="6"/>
    <s v=" Cercle de MOPTI"/>
    <n v="611"/>
    <s v=" COM. DE MOPTI                   "/>
    <n v="2133"/>
    <n v="17064"/>
    <s v="NFI"/>
    <m/>
    <s v="PDI"/>
    <m/>
    <m/>
    <m/>
    <m/>
    <m/>
    <n v="5916"/>
    <n v="5916"/>
    <m/>
    <m/>
    <m/>
    <m/>
    <m/>
    <m/>
    <s v="5916 MII"/>
  </r>
  <r>
    <d v="2012-06-06T00:00:00"/>
    <d v="2012-06-06T00:00:00"/>
    <x v="4"/>
    <s v="USAID"/>
    <s v="Croix Rouge Mali"/>
    <s v=" Région de Bamako"/>
    <n v="1"/>
    <s v=" District de Bamako"/>
    <n v="111"/>
    <s v=" COMMUNE 6      "/>
    <n v="43"/>
    <n v="301"/>
    <s v="NFI"/>
    <m/>
    <s v="PDI"/>
    <m/>
    <m/>
    <m/>
    <m/>
    <m/>
    <n v="85"/>
    <m/>
    <m/>
    <m/>
    <m/>
    <m/>
    <m/>
    <m/>
    <m/>
  </r>
  <r>
    <d v="2012-07-04T00:00:00"/>
    <d v="2012-07-04T00:00:00"/>
    <x v="4"/>
    <s v="USAID"/>
    <s v="Croix Rouge Mali"/>
    <s v=" Région de Kidal"/>
    <n v="9"/>
    <s v=" Cercle de KIDAL"/>
    <n v="911"/>
    <s v=" COM. DE KIDAL                   "/>
    <n v="111"/>
    <n v="777"/>
    <s v="NFI"/>
    <m/>
    <s v="PDI"/>
    <m/>
    <m/>
    <m/>
    <m/>
    <m/>
    <n v="222"/>
    <m/>
    <m/>
    <m/>
    <m/>
    <m/>
    <m/>
    <m/>
    <m/>
  </r>
  <r>
    <d v="2012-07-28T00:00:00"/>
    <d v="2012-07-28T00:00:00"/>
    <x v="4"/>
    <m/>
    <s v="Croix Rouge Mali"/>
    <s v=" Région de Gao"/>
    <n v="8"/>
    <s v=" Cercle de GAO"/>
    <n v="811"/>
    <s v=" COM. DE GAO                     "/>
    <n v="75"/>
    <n v="525"/>
    <s v="NFI"/>
    <m/>
    <s v="PDI"/>
    <m/>
    <m/>
    <m/>
    <m/>
    <m/>
    <n v="150"/>
    <m/>
    <m/>
    <m/>
    <m/>
    <m/>
    <m/>
    <m/>
    <m/>
  </r>
  <r>
    <s v="July 2012"/>
    <s v="Dec 2012"/>
    <x v="5"/>
    <s v="CRS"/>
    <s v="CRS"/>
    <s v=" Région de  Mopti"/>
    <n v="6"/>
    <s v=" Cercle de MOPTI"/>
    <n v="611"/>
    <s v=" COM. DE MOPTI                   "/>
    <m/>
    <m/>
    <s v="CASH"/>
    <m/>
    <s v="PDI"/>
    <m/>
    <m/>
    <m/>
    <m/>
    <m/>
    <m/>
    <m/>
    <m/>
    <m/>
    <m/>
    <m/>
    <m/>
    <m/>
    <m/>
  </r>
  <r>
    <s v="July 2012"/>
    <s v="Dec 2012"/>
    <x v="5"/>
    <s v="CRS"/>
    <s v="CRS"/>
    <s v=" Région de Bamako"/>
    <n v="1"/>
    <s v=" District de Bamako"/>
    <n v="111"/>
    <m/>
    <m/>
    <m/>
    <s v="CASH"/>
    <m/>
    <s v="PDI"/>
    <m/>
    <m/>
    <m/>
    <m/>
    <m/>
    <m/>
    <m/>
    <m/>
    <m/>
    <m/>
    <m/>
    <m/>
    <m/>
    <m/>
  </r>
  <r>
    <d v="2012-05-03T00:00:00"/>
    <d v="2012-05-03T00:00:00"/>
    <x v="5"/>
    <s v="USAID"/>
    <s v="CRS"/>
    <s v=" Région de  Mopti"/>
    <n v="6"/>
    <s v=" Cercle de MOPTI"/>
    <n v="611"/>
    <s v=" COM. DE MOPTI                   "/>
    <n v="12"/>
    <n v="152"/>
    <s v="NFI"/>
    <m/>
    <s v="PDI"/>
    <m/>
    <m/>
    <m/>
    <m/>
    <m/>
    <n v="36"/>
    <n v="36"/>
    <m/>
    <n v="12"/>
    <m/>
    <m/>
    <n v="36"/>
    <m/>
    <s v="SITE DE DISTRIBUTION  HCI  MOPTI"/>
  </r>
  <r>
    <d v="2012-05-04T00:00:00"/>
    <d v="2012-05-04T00:00:00"/>
    <x v="5"/>
    <s v="USAID"/>
    <s v="CRS"/>
    <s v=" Région de  Mopti"/>
    <n v="6"/>
    <s v=" Cercle de MOPTI"/>
    <n v="611"/>
    <s v=" COM. DE MOPTI                   "/>
    <n v="12"/>
    <n v="127"/>
    <s v="NFI"/>
    <m/>
    <s v="PDI"/>
    <m/>
    <m/>
    <m/>
    <m/>
    <m/>
    <n v="36"/>
    <n v="36"/>
    <m/>
    <n v="12"/>
    <m/>
    <m/>
    <n v="36"/>
    <m/>
    <s v="SITE DE DISTRIBUTION  VILLAGE CAN SEVARE"/>
  </r>
  <r>
    <d v="2012-05-07T00:00:00"/>
    <d v="2012-05-07T00:00:00"/>
    <x v="5"/>
    <s v="USAID"/>
    <s v="CRS"/>
    <s v=" Région de  Mopti"/>
    <n v="6"/>
    <s v=" Cercle de MOPTI"/>
    <n v="611"/>
    <s v=" COM. DE MOPTI                   "/>
    <n v="24"/>
    <n v="223"/>
    <s v="NFI"/>
    <m/>
    <s v="PDI"/>
    <m/>
    <m/>
    <m/>
    <m/>
    <m/>
    <n v="72"/>
    <n v="72"/>
    <m/>
    <n v="24"/>
    <m/>
    <m/>
    <n v="72"/>
    <m/>
    <s v="Banguitaba/Waillirde"/>
  </r>
  <r>
    <d v="2012-05-08T00:00:00"/>
    <d v="2012-05-08T00:00:00"/>
    <x v="5"/>
    <s v="USAID"/>
    <s v="CRS"/>
    <s v=" Région de  Mopti"/>
    <n v="6"/>
    <s v=" Cercle de MOPTI"/>
    <n v="611"/>
    <s v=" COM. DE MOPTI                   "/>
    <n v="25"/>
    <n v="294"/>
    <s v="NFI"/>
    <m/>
    <s v="PDI"/>
    <m/>
    <m/>
    <m/>
    <m/>
    <m/>
    <n v="75"/>
    <n v="75"/>
    <m/>
    <n v="25"/>
    <m/>
    <m/>
    <n v="75"/>
    <m/>
    <s v="Mopti Action Mopti, Bamako coura, Village Can"/>
  </r>
  <r>
    <d v="2012-05-09T00:00:00"/>
    <d v="2012-05-09T00:00:00"/>
    <x v="5"/>
    <s v="USAID"/>
    <s v="CRS"/>
    <s v=" Région de  Mopti"/>
    <n v="6"/>
    <s v=" Cercle de MOPTI"/>
    <n v="611"/>
    <s v=" COM. DE MOPTI                   "/>
    <n v="44"/>
    <n v="261"/>
    <s v="NFI"/>
    <m/>
    <s v="PDI"/>
    <m/>
    <m/>
    <m/>
    <m/>
    <m/>
    <n v="132"/>
    <n v="132"/>
    <m/>
    <n v="44"/>
    <m/>
    <m/>
    <n v="132"/>
    <m/>
    <s v="Banguitaba, Socoura, Tiaboli"/>
  </r>
  <r>
    <d v="2012-05-10T00:00:00"/>
    <d v="2012-05-10T00:00:00"/>
    <x v="5"/>
    <s v="USAID"/>
    <s v="CRS"/>
    <s v=" Région de  Mopti"/>
    <n v="6"/>
    <s v=" Cercle de MOPTI"/>
    <n v="611"/>
    <s v=" COM. DE MOPTI                   "/>
    <n v="46"/>
    <n v="402"/>
    <s v="NFI"/>
    <m/>
    <s v="PDI"/>
    <m/>
    <m/>
    <m/>
    <m/>
    <m/>
    <n v="138"/>
    <n v="138"/>
    <m/>
    <n v="46"/>
    <m/>
    <m/>
    <n v="138"/>
    <m/>
    <s v="Bamako coura, Wallirde, village can"/>
  </r>
  <r>
    <d v="2012-05-19T00:00:00"/>
    <d v="2012-05-19T00:00:00"/>
    <x v="5"/>
    <s v="USAID"/>
    <s v="CRS"/>
    <s v=" Région de  Mopti"/>
    <n v="6"/>
    <s v=" Cercle de MOPTI"/>
    <n v="611"/>
    <s v=" COM. DE MOPTI                   "/>
    <n v="37"/>
    <n v="285"/>
    <s v="NFI"/>
    <m/>
    <s v="PDI"/>
    <m/>
    <m/>
    <m/>
    <m/>
    <m/>
    <n v="111"/>
    <n v="111"/>
    <m/>
    <n v="37"/>
    <m/>
    <m/>
    <n v="111"/>
    <m/>
    <s v="Hotel Chauffeur"/>
  </r>
  <r>
    <d v="2012-05-31T00:00:00"/>
    <d v="2012-05-31T00:00:00"/>
    <x v="5"/>
    <s v="USAID"/>
    <s v="CRS"/>
    <s v=" Région de  Mopti"/>
    <n v="6"/>
    <s v=" Cercle de MOPTI"/>
    <n v="611"/>
    <s v=" COM. DE MOPTI                   "/>
    <m/>
    <n v="863"/>
    <s v="NFI"/>
    <m/>
    <s v="PDI"/>
    <m/>
    <m/>
    <m/>
    <m/>
    <m/>
    <n v="0"/>
    <n v="300"/>
    <m/>
    <m/>
    <m/>
    <m/>
    <m/>
    <m/>
    <s v="Soufourlaye/DRS"/>
  </r>
  <r>
    <d v="2012-06-06T00:00:00"/>
    <d v="2012-06-06T00:00:00"/>
    <x v="5"/>
    <s v="USAID"/>
    <s v="CRS"/>
    <s v=" Région de  Mopti"/>
    <n v="6"/>
    <s v=" Cercle de MOPTI"/>
    <n v="611"/>
    <s v=" COM. DE MOPTI                   "/>
    <n v="35"/>
    <n v="510"/>
    <s v="NFI"/>
    <m/>
    <s v="PDI"/>
    <m/>
    <m/>
    <m/>
    <m/>
    <m/>
    <n v="105"/>
    <n v="105"/>
    <m/>
    <n v="35"/>
    <m/>
    <m/>
    <n v="105"/>
    <m/>
    <s v="Village can, Bamako Coura"/>
  </r>
  <r>
    <d v="2012-07-05T00:00:00"/>
    <d v="2012-07-05T00:00:00"/>
    <x v="5"/>
    <s v="USAID"/>
    <s v="CRS"/>
    <s v=" Région de  Mopti"/>
    <n v="6"/>
    <s v=" Cercle de MOPTI"/>
    <n v="611"/>
    <s v=" COM. DE MOPTI                   "/>
    <m/>
    <n v="949"/>
    <s v="NFI"/>
    <m/>
    <s v="PDI"/>
    <m/>
    <m/>
    <m/>
    <m/>
    <m/>
    <n v="90"/>
    <n v="600"/>
    <m/>
    <m/>
    <m/>
    <m/>
    <m/>
    <m/>
    <s v="Eleves deplaces DEF AE Mopti Douentza"/>
  </r>
  <r>
    <d v="2012-08-01T00:00:00"/>
    <d v="2012-08-01T00:00:00"/>
    <x v="5"/>
    <s v="USAID"/>
    <s v="CRS"/>
    <s v=" Région de  Mopti"/>
    <n v="6"/>
    <s v=" Cercle de MOPTI"/>
    <n v="611"/>
    <s v=" COM. DE MOPTI                   "/>
    <n v="16"/>
    <n v="668"/>
    <s v="NFI"/>
    <m/>
    <s v="PDI"/>
    <m/>
    <m/>
    <m/>
    <m/>
    <m/>
    <n v="48"/>
    <n v="48"/>
    <m/>
    <n v="16"/>
    <m/>
    <m/>
    <n v="48"/>
    <m/>
    <s v="H chauffeur-HCI"/>
  </r>
  <r>
    <d v="2012-08-17T00:00:00"/>
    <d v="2012-08-17T00:00:00"/>
    <x v="5"/>
    <s v="USAID"/>
    <s v="CRS"/>
    <s v=" Région de  Mopti"/>
    <n v="6"/>
    <s v=" Cercle de MOPTI"/>
    <n v="611"/>
    <s v=" COM. DE MOPTI                   "/>
    <n v="50"/>
    <m/>
    <s v="NFI"/>
    <m/>
    <s v="PDI"/>
    <m/>
    <m/>
    <m/>
    <m/>
    <m/>
    <n v="90"/>
    <n v="1200"/>
    <m/>
    <m/>
    <m/>
    <m/>
    <n v="150"/>
    <m/>
    <s v="Appui Eleves Deplacés cours de Rattrapage"/>
  </r>
  <r>
    <d v="2012-08-29T00:00:00"/>
    <d v="2012-08-29T00:00:00"/>
    <x v="5"/>
    <s v="USAID"/>
    <s v="CRS"/>
    <s v=" Région de  Mopti"/>
    <n v="6"/>
    <s v=" Cercle de MOPTI"/>
    <n v="611"/>
    <s v=" COM. DE MOPTI                   "/>
    <n v="98"/>
    <n v="1076"/>
    <s v="NFI"/>
    <m/>
    <s v="PDI"/>
    <m/>
    <m/>
    <m/>
    <m/>
    <m/>
    <m/>
    <n v="294"/>
    <m/>
    <m/>
    <m/>
    <m/>
    <n v="294"/>
    <m/>
    <s v="Bamako coura-banguitaba-HCI-Village Innonde Mussawel"/>
  </r>
  <r>
    <d v="2012-09-28T00:00:00"/>
    <d v="2012-09-28T00:00:00"/>
    <x v="5"/>
    <s v="USAID"/>
    <s v="CRS"/>
    <s v=" Région de  Mopti"/>
    <n v="6"/>
    <s v=" Cercle de MOPTI"/>
    <n v="611"/>
    <s v=" COM. DE MOPTI                   "/>
    <n v="32"/>
    <n v="818"/>
    <s v="NFI"/>
    <m/>
    <s v="PDI"/>
    <m/>
    <m/>
    <m/>
    <m/>
    <m/>
    <n v="96"/>
    <n v="96"/>
    <m/>
    <n v="32"/>
    <m/>
    <m/>
    <n v="96"/>
    <m/>
    <s v="Mopti HCI"/>
  </r>
  <r>
    <d v="2012-09-29T00:00:00"/>
    <d v="2012-09-29T00:00:00"/>
    <x v="5"/>
    <s v="USAID"/>
    <s v="CRS"/>
    <s v=" Région de  Mopti"/>
    <n v="6"/>
    <s v=" Cercle de MOPTI"/>
    <n v="611"/>
    <s v=" COM. DE MOPTI                   "/>
    <n v="62"/>
    <n v="1783"/>
    <s v="NFI"/>
    <m/>
    <s v="PDI"/>
    <m/>
    <m/>
    <m/>
    <m/>
    <m/>
    <n v="186"/>
    <n v="186"/>
    <m/>
    <n v="62"/>
    <m/>
    <m/>
    <n v="186"/>
    <m/>
    <s v="Banguitaba"/>
  </r>
  <r>
    <d v="2012-04-14T00:00:00"/>
    <d v="2012-04-14T00:00:00"/>
    <x v="6"/>
    <s v="DGPC"/>
    <s v="DGPC"/>
    <s v=" Région de  Mopti"/>
    <n v="6"/>
    <s v=" Cercle de MOPTI"/>
    <n v="611"/>
    <s v=" COM. DE MOPTI                   "/>
    <n v="7"/>
    <n v="42"/>
    <s v="NFI"/>
    <m/>
    <s v="PDI"/>
    <n v="7"/>
    <m/>
    <m/>
    <m/>
    <m/>
    <m/>
    <m/>
    <m/>
    <m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05-01T00:00:00"/>
    <d v="2012-05-01T00:00:00"/>
    <x v="6"/>
    <s v="Plan Mali"/>
    <s v="DGPC"/>
    <s v=" Région de  Mopti"/>
    <n v="6"/>
    <s v=" Cercle de MOPTI"/>
    <n v="611"/>
    <s v=" COM. DE MOPTI                   "/>
    <n v="10"/>
    <n v="60"/>
    <s v="NFI"/>
    <m/>
    <s v="PDI"/>
    <n v="10"/>
    <n v="50"/>
    <m/>
    <m/>
    <m/>
    <n v="50"/>
    <m/>
    <m/>
    <m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06-08T00:00:00"/>
    <d v="2012-06-08T00:00:00"/>
    <x v="6"/>
    <s v="UNICEF"/>
    <s v="DGPC"/>
    <s v=" Région de  Mopti"/>
    <n v="6"/>
    <s v=" Cercle de MOPTI"/>
    <n v="611"/>
    <s v=" COM. DE SEVARE"/>
    <n v="80"/>
    <n v="480"/>
    <s v="NFI"/>
    <m/>
    <s v="PDI"/>
    <m/>
    <m/>
    <m/>
    <m/>
    <n v="80"/>
    <n v="160"/>
    <n v="160"/>
    <m/>
    <n v="8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06-16T00:00:00"/>
    <d v="2012-06-16T00:00:00"/>
    <x v="6"/>
    <s v="UNICEF"/>
    <s v="DGPC"/>
    <s v=" Région de  Mopti"/>
    <n v="6"/>
    <s v=" Cercle de MOPTI"/>
    <n v="611"/>
    <s v=" COM. DE MOPTI                   "/>
    <n v="40"/>
    <n v="240"/>
    <s v="NFI"/>
    <m/>
    <s v="PDI"/>
    <m/>
    <m/>
    <m/>
    <m/>
    <m/>
    <n v="80"/>
    <n v="80"/>
    <m/>
    <n v="8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09-26T00:00:00"/>
    <d v="2012-09-26T00:00:00"/>
    <x v="6"/>
    <s v="UNICEF"/>
    <s v="DGPC"/>
    <s v=" Région de Sikasso"/>
    <n v="4"/>
    <s v=" Cercle de KOUTIALA"/>
    <n v="415"/>
    <s v=" COM. DE SOROBASSO               "/>
    <n v="82"/>
    <n v="492"/>
    <s v="NFI"/>
    <m/>
    <s v="PDI"/>
    <m/>
    <m/>
    <m/>
    <m/>
    <n v="280"/>
    <n v="560"/>
    <n v="560"/>
    <m/>
    <n v="28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09-26T00:00:00"/>
    <d v="2012-09-26T00:00:00"/>
    <x v="6"/>
    <s v="UNICEF"/>
    <s v="DGPC"/>
    <s v=" Région de Sikasso"/>
    <n v="4"/>
    <s v=" Cercle de KOUTIALA"/>
    <n v="415"/>
    <s v=" COM. DE ZANFIGUE                "/>
    <n v="44"/>
    <n v="264"/>
    <s v="NFI"/>
    <m/>
    <s v="PDI"/>
    <m/>
    <m/>
    <m/>
    <m/>
    <n v="40"/>
    <n v="80"/>
    <n v="80"/>
    <m/>
    <n v="4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09-27T00:00:00"/>
    <d v="2012-09-27T00:00:00"/>
    <x v="6"/>
    <s v="UNICEF"/>
    <s v="DGPC"/>
    <s v=" Région de Kayes"/>
    <n v="2"/>
    <s v=" Cercle de KAYES"/>
    <n v="211"/>
    <s v=" COM. DE SOUMPOU   "/>
    <n v="45"/>
    <n v="270"/>
    <s v="NFI"/>
    <m/>
    <s v="PDI"/>
    <m/>
    <m/>
    <m/>
    <m/>
    <n v="80"/>
    <n v="160"/>
    <n v="160"/>
    <m/>
    <n v="8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09-27T00:00:00"/>
    <d v="2012-09-27T00:00:00"/>
    <x v="6"/>
    <s v="UNICEF"/>
    <s v="DGPC"/>
    <s v=" Région de Koulikoro"/>
    <n v="3"/>
    <s v=" Cercle de KATI"/>
    <n v="315"/>
    <s v=" COM. DE OUELESSEBOUGOU          "/>
    <n v="4"/>
    <n v="24"/>
    <s v="NFI"/>
    <m/>
    <s v="PDI"/>
    <m/>
    <m/>
    <m/>
    <m/>
    <n v="80"/>
    <n v="160"/>
    <n v="160"/>
    <m/>
    <n v="8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09-28T00:00:00"/>
    <d v="2012-09-28T00:00:00"/>
    <x v="6"/>
    <s v="UNICEF"/>
    <s v="DGPC"/>
    <s v=" Région de Kayes"/>
    <n v="2"/>
    <s v=" Cercle de DIEMA"/>
    <n v="213"/>
    <s v=" COM. DE DIEMA                   "/>
    <n v="21"/>
    <n v="126"/>
    <s v="NFI"/>
    <m/>
    <s v="PDI"/>
    <m/>
    <m/>
    <m/>
    <m/>
    <n v="160"/>
    <n v="360"/>
    <n v="320"/>
    <m/>
    <n v="16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10-01T00:00:00"/>
    <d v="2012-10-01T00:00:00"/>
    <x v="6"/>
    <s v="UNICEF"/>
    <s v="DGPC"/>
    <s v=" Région de Bamako"/>
    <n v="1"/>
    <s v=" District de Bamako"/>
    <n v="111"/>
    <m/>
    <n v="50"/>
    <n v="300"/>
    <s v="NFI"/>
    <m/>
    <s v="PDI"/>
    <m/>
    <m/>
    <m/>
    <m/>
    <n v="50"/>
    <n v="100"/>
    <n v="100"/>
    <m/>
    <n v="5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10-01T00:00:00"/>
    <d v="2012-10-01T00:00:00"/>
    <x v="6"/>
    <s v="UNICEF"/>
    <s v="DGPC"/>
    <s v=" Région de Bamako"/>
    <n v="1"/>
    <s v=" District de Bamako"/>
    <n v="111"/>
    <m/>
    <n v="212"/>
    <n v="1272"/>
    <s v="NFI"/>
    <m/>
    <s v="PDI"/>
    <m/>
    <m/>
    <m/>
    <m/>
    <n v="212"/>
    <n v="424"/>
    <n v="424"/>
    <m/>
    <n v="212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10-06T00:00:00"/>
    <d v="2012-10-06T00:00:00"/>
    <x v="6"/>
    <s v="UNICEF"/>
    <s v="DGPC"/>
    <s v=" Région de Bamako"/>
    <n v="1"/>
    <s v=" District de Bamako"/>
    <n v="111"/>
    <m/>
    <n v="8"/>
    <n v="48"/>
    <s v="NFI"/>
    <m/>
    <s v="PDI"/>
    <m/>
    <m/>
    <m/>
    <m/>
    <m/>
    <n v="17"/>
    <n v="17"/>
    <m/>
    <n v="17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10-07T00:00:00"/>
    <d v="2012-10-07T00:00:00"/>
    <x v="6"/>
    <s v="UNICEF"/>
    <s v="DGPC"/>
    <s v=" Région de Koulikoro"/>
    <n v="3"/>
    <s v=" Cercle de KOULIKORO"/>
    <n v="311"/>
    <s v=" COM. DE KOULIKORO               "/>
    <n v="2"/>
    <n v="12"/>
    <s v="NFI"/>
    <m/>
    <s v="PDI"/>
    <m/>
    <m/>
    <m/>
    <m/>
    <m/>
    <n v="4"/>
    <n v="4"/>
    <m/>
    <n v="4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10-09T00:00:00"/>
    <d v="2012-10-09T00:00:00"/>
    <x v="6"/>
    <s v="UNICEF"/>
    <s v="DGPC"/>
    <s v=" Région de  Mopti"/>
    <n v="6"/>
    <s v=" Cercle de MOPTI"/>
    <n v="611"/>
    <s v=" COM. DE MOPTI                   "/>
    <n v="45"/>
    <n v="270"/>
    <s v="NFI"/>
    <m/>
    <s v="PDI"/>
    <m/>
    <m/>
    <m/>
    <m/>
    <m/>
    <n v="89"/>
    <n v="89"/>
    <m/>
    <n v="89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10-11T00:00:00"/>
    <d v="2012-10-11T00:00:00"/>
    <x v="6"/>
    <s v="UNICEF"/>
    <s v="DGPC"/>
    <s v=" Région de Sikasso"/>
    <n v="4"/>
    <s v=" Cercle de SIKASSO    "/>
    <n v="411"/>
    <s v=" COM. DE SIKASSO                 "/>
    <n v="33"/>
    <n v="198"/>
    <s v="NFI"/>
    <m/>
    <s v="PDI"/>
    <m/>
    <m/>
    <m/>
    <m/>
    <m/>
    <n v="66"/>
    <n v="66"/>
    <m/>
    <n v="66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10-12T00:00:00"/>
    <d v="2012-10-12T00:00:00"/>
    <x v="6"/>
    <s v="UNICEF"/>
    <s v="DGPC"/>
    <s v=" Région de Kayes"/>
    <n v="2"/>
    <s v=" Cercle de KAYES"/>
    <n v="211"/>
    <s v=" COM. DE KAYES                   "/>
    <n v="33"/>
    <n v="198"/>
    <s v="NFI"/>
    <m/>
    <s v="PDI"/>
    <m/>
    <m/>
    <m/>
    <m/>
    <m/>
    <n v="66"/>
    <n v="66"/>
    <m/>
    <n v="66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12-08T00:00:00"/>
    <d v="2012-12-08T00:00:00"/>
    <x v="6"/>
    <s v="UNICEF"/>
    <s v="DGPC"/>
    <s v=" Région de Ségou"/>
    <n v="5"/>
    <s v=" Cercle de SEGOU"/>
    <n v="511"/>
    <s v=" COM. DE SEGOU                   "/>
    <n v="255"/>
    <n v="1530"/>
    <s v="NFI"/>
    <m/>
    <s v="PDI"/>
    <m/>
    <m/>
    <m/>
    <m/>
    <m/>
    <n v="510"/>
    <n v="510"/>
    <m/>
    <n v="51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3-01-02T00:00:00"/>
    <d v="2013-01-04T00:00:00"/>
    <x v="7"/>
    <s v="IOM"/>
    <s v="IOM"/>
    <s v=" Région de Bamako"/>
    <n v="1"/>
    <s v=" District de Bamako"/>
    <n v="111"/>
    <s v="Commune 3 et 4 "/>
    <n v="359"/>
    <n v="2154"/>
    <s v="NFI"/>
    <m/>
    <s v="PDI"/>
    <m/>
    <m/>
    <m/>
    <m/>
    <m/>
    <n v="718"/>
    <n v="718"/>
    <m/>
    <n v="718"/>
    <n v="718"/>
    <n v="718"/>
    <n v="718"/>
    <m/>
    <s v="KIT CUISINE:  Marmites 7kgs, Tasses Inox, 3 Gobelets métaliques, 3 Cuillères métaliques,Louches métaliques, 20 Savons de ménage, Bouilloires, 90 PUR "/>
  </r>
  <r>
    <d v="2012-11-02T00:00:00"/>
    <d v="2012-11-02T00:00:00"/>
    <x v="8"/>
    <s v="UNICEF"/>
    <s v="IRC"/>
    <s v=" Région de Gao"/>
    <n v="8"/>
    <s v=" Cercle de ANSONGO"/>
    <n v="812"/>
    <s v=" COM. DE ANSONGO                 "/>
    <n v="1000"/>
    <n v="6000"/>
    <s v="NFI"/>
    <m/>
    <s v="PDI"/>
    <m/>
    <m/>
    <m/>
    <m/>
    <n v="200"/>
    <n v="400"/>
    <n v="400"/>
    <m/>
    <n v="20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04-19T00:00:00"/>
    <d v="2012-04-19T00:00:00"/>
    <x v="9"/>
    <s v="UNICEF"/>
    <s v="Médecin du Monde Belgique"/>
    <s v=" Région de Gao"/>
    <n v="8"/>
    <s v=" Cercle de BOUREM"/>
    <n v="813"/>
    <s v=" COM. DE BOUREM                  "/>
    <n v="100"/>
    <n v="600"/>
    <s v="NFI"/>
    <m/>
    <s v="PDI"/>
    <m/>
    <m/>
    <m/>
    <m/>
    <n v="200"/>
    <n v="400"/>
    <n v="400"/>
    <m/>
    <n v="20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07-06T00:00:00"/>
    <d v="2012-07-06T00:00:00"/>
    <x v="9"/>
    <s v="UNICEF"/>
    <s v="Médecin du Monde Belgique"/>
    <s v=" Région de Gao"/>
    <n v="8"/>
    <s v=" Cercle de MENAKA"/>
    <n v="814"/>
    <s v=" COM. DE MENAKA                  "/>
    <n v="200"/>
    <n v="1200"/>
    <s v="NFI"/>
    <m/>
    <s v="PDI"/>
    <m/>
    <m/>
    <m/>
    <m/>
    <n v="100"/>
    <n v="200"/>
    <n v="200"/>
    <m/>
    <n v="10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04-11T00:00:00"/>
    <d v="2012-04-11T00:00:00"/>
    <x v="10"/>
    <s v="UNICEF"/>
    <s v="Médecin du Monde France"/>
    <s v=" Région de Kidal"/>
    <n v="9"/>
    <s v=" Cercle de ABEIBARA"/>
    <n v="912"/>
    <s v=" COM. DE  TINZAWATENE            "/>
    <n v="300"/>
    <n v="1800"/>
    <s v="NFI"/>
    <m/>
    <s v="PDI"/>
    <m/>
    <m/>
    <m/>
    <m/>
    <n v="400"/>
    <n v="800"/>
    <n v="800"/>
    <m/>
    <n v="40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04-11T00:00:00"/>
    <d v="2012-04-11T00:00:00"/>
    <x v="10"/>
    <s v="UNICEF"/>
    <s v="Médecin du Monde France"/>
    <s v=" Région de Tombouctou"/>
    <n v="7"/>
    <s v=" Cercle de TOMBOUCTOU"/>
    <n v="711"/>
    <s v=" COM. DE TOMBOUCTOU              "/>
    <n v="200"/>
    <n v="1200"/>
    <s v="NFI"/>
    <m/>
    <s v="PDI"/>
    <m/>
    <m/>
    <m/>
    <m/>
    <n v="200"/>
    <n v="400"/>
    <n v="400"/>
    <m/>
    <n v="20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04-11T00:00:00"/>
    <d v="2012-04-11T00:00:00"/>
    <x v="10"/>
    <s v="UNICEF"/>
    <s v="Médecin du Monde France"/>
    <s v=" Région de Tombouctou"/>
    <n v="7"/>
    <s v=" Cercle de TOMBOUCTOU"/>
    <n v="711"/>
    <s v=" COM. DE TOMBOUCTOU              "/>
    <n v="200"/>
    <n v="1200"/>
    <s v="NFI"/>
    <m/>
    <s v="PDI"/>
    <m/>
    <m/>
    <m/>
    <m/>
    <n v="200"/>
    <n v="400"/>
    <n v="400"/>
    <m/>
    <n v="20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s v="Du 5 /11/2012"/>
    <d v="2012-11-30T00:00:00"/>
    <x v="11"/>
    <s v="UNHCR"/>
    <s v="Intersos"/>
    <s v=" Région de  Mopti"/>
    <n v="6"/>
    <s v=" Cercle de MOPTI"/>
    <n v="611"/>
    <s v=" COM. DE SOCOURA                 "/>
    <n v="2500"/>
    <n v="15000"/>
    <s v="NFI"/>
    <m/>
    <s v="PDI"/>
    <m/>
    <m/>
    <m/>
    <n v="2"/>
    <n v="10"/>
    <n v="3100"/>
    <n v="3100"/>
    <m/>
    <n v="383"/>
    <n v="600"/>
    <n v="2856"/>
    <n v="4500"/>
    <m/>
    <s v="Composition de menages: 6,5 perspnnes. Composition du kit de cuisine: 2 marmites,4 cuilleres a soupe, 1 couteau, 1 louche, 2 tasses,  "/>
  </r>
  <r>
    <s v="Du 01/12 /2012"/>
    <d v="2012-12-31T00:00:00"/>
    <x v="11"/>
    <s v="UNHCR"/>
    <s v="Intersos"/>
    <s v=" Région de  Mopti"/>
    <n v="6"/>
    <s v=" Cercle de MOPTI"/>
    <n v="611"/>
    <s v=" COM. DE SOCOURA                 "/>
    <n v="1864"/>
    <n v="11184"/>
    <s v="NFI"/>
    <m/>
    <s v="PDI"/>
    <m/>
    <m/>
    <m/>
    <m/>
    <n v="1665"/>
    <n v="5440"/>
    <n v="2625"/>
    <m/>
    <n v="326"/>
    <n v="3800"/>
    <m/>
    <n v="1200"/>
    <m/>
    <s v="Composition de menages: 6,5 perspnnes. Composition du kit de cuisine: 2 marmites,4 cuilleres a soupe, 1 couteau, 1 louche, 2 tasses,  3 bidons de 10 litres"/>
  </r>
  <r>
    <s v=" 30/01/2013"/>
    <s v=" 30/01/2013"/>
    <x v="11"/>
    <s v="UNHCR"/>
    <s v="Intersos"/>
    <s v=" Région de  Mopti"/>
    <n v="6"/>
    <s v=" Cercle de MOPTI"/>
    <n v="611"/>
    <s v=" COM. DE SOCOURA                 "/>
    <n v="34"/>
    <n v="221"/>
    <s v="NFI"/>
    <m/>
    <s v="PDI"/>
    <m/>
    <m/>
    <m/>
    <m/>
    <n v="34"/>
    <n v="68"/>
    <n v="68"/>
    <m/>
    <n v="34"/>
    <n v="34"/>
    <n v="68"/>
    <n v="68"/>
    <m/>
    <s v="Composition de menages: 6,5 perspnnes. Composition du kit de cuisine: 2 marmites,3 cuilleres a soupe, 1 couteau, 1 louche,  1 bidon de 10 litres"/>
  </r>
  <r>
    <d v="2012-08-01T00:00:00"/>
    <d v="2013-08-15T00:00:00"/>
    <x v="12"/>
    <s v="Cooperation néelandaise"/>
    <s v="USAID"/>
    <s v=" Région de  Mopti"/>
    <n v="6"/>
    <s v=" Cercle de MOPTI"/>
    <n v="611"/>
    <s v=" COM. DE FATOMA                  "/>
    <n v="192"/>
    <n v="1536"/>
    <s v="NFI"/>
    <m/>
    <s v="PDI"/>
    <m/>
    <m/>
    <m/>
    <m/>
    <m/>
    <n v="384"/>
    <n v="384"/>
    <m/>
    <n v="192"/>
    <m/>
    <m/>
    <m/>
    <m/>
    <s v="192 morceaux savon+192L eau de javel+192L Grézil"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  <r>
    <m/>
    <m/>
    <x v="13"/>
    <m/>
    <m/>
    <m/>
    <e v="#N/A"/>
    <m/>
    <e v="#N/A"/>
    <m/>
    <m/>
    <m/>
    <m/>
    <m/>
    <m/>
    <m/>
    <m/>
    <m/>
    <m/>
    <m/>
    <m/>
    <m/>
    <m/>
    <m/>
    <m/>
    <m/>
    <m/>
    <m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70">
  <r>
    <d v="2012-10-05T00:00:00"/>
    <d v="2012-10-05T00:00:00"/>
    <s v="ACTED"/>
    <s v="ACTED"/>
    <s v="ACTED"/>
    <x v="0"/>
    <n v="1"/>
    <s v=" District de Bamako"/>
    <n v="111"/>
    <s v=" COMMUNE 5"/>
    <n v="415"/>
    <n v="3674"/>
    <s v="NFI"/>
    <m/>
    <s v="PDI"/>
    <m/>
    <n v="415"/>
    <m/>
    <m/>
    <m/>
    <n v="830"/>
    <n v="830"/>
    <m/>
    <n v="415"/>
    <m/>
    <m/>
    <n v="830"/>
    <m/>
    <s v="Composition du kit de cuisine: 1 bassine, 1 grande tasse, 1 seau en plastique, 1 paquet de savon, 1 plateau, 1 louche, 6 gobelets, 6 cuillères, 1 couteau de cuisine, 2 marmites, 1 jerrican, 1 fourneau"/>
  </r>
  <r>
    <d v="2012-10-05T00:00:00"/>
    <d v="2012-10-05T00:00:00"/>
    <s v="ACTED"/>
    <s v="ACTED"/>
    <s v="ACTED"/>
    <x v="1"/>
    <n v="3"/>
    <s v=" Cercle de KATI"/>
    <n v="315"/>
    <s v=" COM. DE KALABANCORO             "/>
    <n v="285"/>
    <n v="798"/>
    <s v="NFI"/>
    <m/>
    <s v="PDI"/>
    <m/>
    <n v="285"/>
    <m/>
    <m/>
    <m/>
    <n v="570"/>
    <n v="570"/>
    <m/>
    <n v="285"/>
    <m/>
    <m/>
    <n v="570"/>
    <m/>
    <s v="Composition du kit de cuisine: 1 bassine, 1 grande tasse, 1 seau en plastique, 1 paquet de savon, 1 plateau, 1 louche, 6 gobelets, 6 cuillères, 1 couteau de cuisine, 2 marmites, 1 jerrican, 1 fourneau"/>
  </r>
  <r>
    <d v="2012-10-19T00:00:00"/>
    <d v="2012-10-19T00:00:00"/>
    <s v="ACTED"/>
    <s v="UNICEF"/>
    <s v="ACTED"/>
    <x v="2"/>
    <n v="5"/>
    <s v=" Cercle de  TOMINIAN"/>
    <n v="517"/>
    <s v=" COM. DE TOMINIAN                "/>
    <n v="262"/>
    <n v="1572"/>
    <s v="NFI"/>
    <m/>
    <s v="PDI"/>
    <m/>
    <m/>
    <m/>
    <m/>
    <n v="262"/>
    <n v="524"/>
    <n v="524"/>
    <m/>
    <n v="262"/>
    <m/>
    <m/>
    <m/>
    <m/>
    <s v="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10-19T00:00:00"/>
    <d v="2012-10-19T00:00:00"/>
    <s v="ACTED"/>
    <s v="UNICEF"/>
    <s v="ACTED"/>
    <x v="2"/>
    <n v="5"/>
    <s v=" Cercle de  TOMINIAN"/>
    <n v="517"/>
    <s v=" COM. DE  FANGASSO               "/>
    <n v="284"/>
    <n v="1704"/>
    <s v="NFI"/>
    <m/>
    <s v="PDI"/>
    <m/>
    <m/>
    <m/>
    <m/>
    <n v="284"/>
    <n v="568"/>
    <n v="568"/>
    <m/>
    <n v="284"/>
    <m/>
    <m/>
    <m/>
    <m/>
    <s v="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10-19T00:00:00"/>
    <d v="2012-10-19T00:00:00"/>
    <s v="ACTED"/>
    <s v="UNICEF"/>
    <s v="ACTED"/>
    <x v="2"/>
    <n v="5"/>
    <s v=" Cercle de  TOMINIAN"/>
    <n v="517"/>
    <s v=" COM. DE OUAN                    "/>
    <n v="51"/>
    <n v="306"/>
    <s v="NFI"/>
    <m/>
    <s v="PDI"/>
    <m/>
    <m/>
    <m/>
    <m/>
    <n v="51"/>
    <n v="102"/>
    <n v="102"/>
    <m/>
    <n v="51"/>
    <m/>
    <m/>
    <m/>
    <m/>
    <s v="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04-07T00:00:00"/>
    <d v="2012-04-07T00:00:00"/>
    <s v="ALIMA"/>
    <s v="UNICEF"/>
    <s v="ALIMA"/>
    <x v="3"/>
    <n v="7"/>
    <s v=" Cercle de TOMBOUCTOU"/>
    <n v="711"/>
    <s v=" COM. DE TOMBOUCTOU              "/>
    <n v="200"/>
    <n v="1200"/>
    <s v="NFI"/>
    <m/>
    <s v="PDI"/>
    <m/>
    <m/>
    <m/>
    <m/>
    <n v="200"/>
    <n v="400"/>
    <n v="400"/>
    <m/>
    <n v="20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10-30T00:00:00"/>
    <d v="2012-10-31T00:00:00"/>
    <s v="ALIMA"/>
    <s v="UNICEF"/>
    <s v="ALIMA"/>
    <x v="3"/>
    <n v="7"/>
    <s v=" Cercle de DIRE"/>
    <n v="712"/>
    <s v=" COM. DE DIRE                    "/>
    <n v="100"/>
    <n v="600"/>
    <s v="NFI"/>
    <m/>
    <s v="PDI"/>
    <m/>
    <m/>
    <m/>
    <m/>
    <n v="100"/>
    <n v="200"/>
    <n v="200"/>
    <m/>
    <n v="10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09-27T00:00:00"/>
    <d v="2012-09-27T00:00:00"/>
    <s v="AVSF"/>
    <s v="UNICEF"/>
    <s v="AVSF"/>
    <x v="3"/>
    <n v="7"/>
    <s v=" Cercle de TOMBOUCTOU"/>
    <n v="711"/>
    <s v=" COM. DE  BER                    "/>
    <n v="200"/>
    <n v="1200"/>
    <s v="NFI"/>
    <m/>
    <s v="PDI"/>
    <m/>
    <m/>
    <m/>
    <m/>
    <n v="200"/>
    <n v="400"/>
    <n v="400"/>
    <m/>
    <n v="20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09-28T00:00:00"/>
    <d v="2012-09-28T00:00:00"/>
    <s v="AVSF"/>
    <s v="UNICEF"/>
    <s v="AVSF"/>
    <x v="3"/>
    <n v="7"/>
    <s v=" Cercle de TOMBOUCTOU"/>
    <n v="711"/>
    <s v=" COM. DE TOMBOUCTOU              "/>
    <n v="200"/>
    <n v="1200"/>
    <s v="NFI"/>
    <m/>
    <s v="PDI"/>
    <m/>
    <m/>
    <m/>
    <m/>
    <n v="200"/>
    <n v="400"/>
    <n v="400"/>
    <m/>
    <n v="20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10-01T00:00:00"/>
    <d v="2012-10-01T00:00:00"/>
    <s v="AVSF"/>
    <s v="UNICEF"/>
    <s v="AVSF"/>
    <x v="3"/>
    <n v="7"/>
    <s v=" Cercle de TOMBOUCTOU"/>
    <n v="711"/>
    <s v=" COM. DE TOMBOUCTOU              "/>
    <n v="120"/>
    <n v="720"/>
    <s v="NFI"/>
    <m/>
    <s v="PDI"/>
    <m/>
    <m/>
    <m/>
    <m/>
    <n v="120"/>
    <n v="240"/>
    <n v="240"/>
    <m/>
    <n v="12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10-01T00:00:00"/>
    <d v="2012-10-01T00:00:00"/>
    <s v="AVSF"/>
    <s v="UNICEF"/>
    <s v="AVSF"/>
    <x v="3"/>
    <n v="7"/>
    <s v=" Cercle de TOMBOUCTOU"/>
    <n v="711"/>
    <s v=" COM. DE TOMBOUCTOU              "/>
    <n v="120"/>
    <n v="720"/>
    <s v="NFI"/>
    <m/>
    <s v="PDI"/>
    <m/>
    <m/>
    <m/>
    <m/>
    <n v="120"/>
    <n v="240"/>
    <n v="240"/>
    <m/>
    <n v="12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10-18T00:00:00"/>
    <d v="2012-10-18T00:00:00"/>
    <s v="AVSF"/>
    <s v="UNICEF"/>
    <s v="AVSF"/>
    <x v="3"/>
    <n v="7"/>
    <s v=" Cercle de TOMBOUCTOU"/>
    <n v="711"/>
    <s v=" COM. DE TOMBOUCTOU              "/>
    <n v="80"/>
    <n v="480"/>
    <s v="NFI"/>
    <m/>
    <s v="PDI"/>
    <m/>
    <m/>
    <m/>
    <m/>
    <n v="80"/>
    <n v="160"/>
    <n v="160"/>
    <m/>
    <n v="8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10-18T00:00:00"/>
    <d v="2012-10-18T00:00:00"/>
    <s v="AVSF"/>
    <s v="UNICEF"/>
    <s v="AVSF"/>
    <x v="3"/>
    <n v="7"/>
    <s v=" Cercle de TOMBOUCTOU"/>
    <n v="711"/>
    <s v=" COM. DE TOMBOUCTOU              "/>
    <n v="80"/>
    <n v="480"/>
    <s v="NFI"/>
    <m/>
    <s v="PDI"/>
    <m/>
    <m/>
    <m/>
    <m/>
    <n v="80"/>
    <n v="160"/>
    <n v="160"/>
    <m/>
    <n v="8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s v="Décembre"/>
    <s v="Décembre"/>
    <s v="CARE"/>
    <s v="UNICEF"/>
    <s v="CARE"/>
    <x v="4"/>
    <n v="6"/>
    <s v=" Cercle de BANKASS"/>
    <n v="613"/>
    <s v=" COM. DE BANKASS                 "/>
    <n v="180"/>
    <n v="1080"/>
    <s v="NFI"/>
    <m/>
    <s v="PDI"/>
    <m/>
    <m/>
    <m/>
    <m/>
    <n v="280"/>
    <n v="560"/>
    <n v="560"/>
    <m/>
    <n v="28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s v="Décembre"/>
    <s v="Décembre"/>
    <s v="CARE"/>
    <s v="UNICEF"/>
    <s v="CARE"/>
    <x v="4"/>
    <n v="6"/>
    <s v=" Cercle de KORO"/>
    <n v="616"/>
    <s v=" COM. DE KORO                    "/>
    <n v="198"/>
    <n v="1188"/>
    <s v="NFI"/>
    <m/>
    <s v="PDI"/>
    <m/>
    <m/>
    <m/>
    <m/>
    <n v="300"/>
    <n v="600"/>
    <n v="600"/>
    <m/>
    <n v="30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s v="Mai"/>
    <s v="Mai"/>
    <s v="CARE"/>
    <s v="UNICEF"/>
    <s v="CARE"/>
    <x v="4"/>
    <n v="6"/>
    <s v=" Cercle de  BANDIAGARA"/>
    <n v="612"/>
    <s v=" COM. DE BANDIAGARA              "/>
    <n v="152"/>
    <n v="912"/>
    <s v="NFI"/>
    <m/>
    <s v="PDI"/>
    <m/>
    <m/>
    <m/>
    <m/>
    <n v="150"/>
    <n v="300"/>
    <n v="300"/>
    <m/>
    <n v="15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s v="Mai"/>
    <s v="Mai"/>
    <s v="CARE"/>
    <s v="UNICEF"/>
    <s v="CARE"/>
    <x v="4"/>
    <n v="6"/>
    <s v=" Cercle de  DJENNE"/>
    <n v="614"/>
    <s v=" COM. DE DJENNE                  "/>
    <n v="171"/>
    <n v="1026"/>
    <s v="NFI"/>
    <m/>
    <s v="PDI"/>
    <m/>
    <m/>
    <m/>
    <m/>
    <n v="150"/>
    <n v="300"/>
    <n v="300"/>
    <m/>
    <n v="15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s v="Mai"/>
    <s v="Mai"/>
    <s v="CARE"/>
    <s v="UNICEF"/>
    <s v="CARE"/>
    <x v="4"/>
    <n v="6"/>
    <s v=" Cercle de MOPTI"/>
    <n v="611"/>
    <s v=" COM. DE MOPTI                   "/>
    <n v="301"/>
    <n v="1806"/>
    <s v="NFI"/>
    <m/>
    <s v="PDI"/>
    <m/>
    <m/>
    <m/>
    <m/>
    <n v="180"/>
    <n v="360"/>
    <n v="360"/>
    <m/>
    <n v="18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05-11T00:00:00"/>
    <d v="2012-05-11T00:00:00"/>
    <s v="Croix Rouge Malienne"/>
    <s v="AVSF"/>
    <s v="Croix Rouge Mali"/>
    <x v="4"/>
    <n v="6"/>
    <s v=" Cercle de MOPTI"/>
    <n v="611"/>
    <s v=" COM. DE MOPTI                   "/>
    <n v="145"/>
    <n v="1015"/>
    <s v="NFI"/>
    <m/>
    <s v="PDI"/>
    <m/>
    <m/>
    <m/>
    <m/>
    <m/>
    <n v="290"/>
    <m/>
    <m/>
    <m/>
    <m/>
    <m/>
    <m/>
    <m/>
    <m/>
  </r>
  <r>
    <s v=" 1/06/12"/>
    <d v="2013-07-31T00:00:00"/>
    <s v="Croix Rouge Malienne"/>
    <s v="CICR"/>
    <s v="Croix Rouge Mali"/>
    <x v="4"/>
    <n v="6"/>
    <s v=" Cercle de MOPTI"/>
    <n v="611"/>
    <s v=" COM. DE MOPTI                   "/>
    <n v="283"/>
    <n v="1676"/>
    <s v="NFI"/>
    <m/>
    <s v="PDI"/>
    <m/>
    <m/>
    <m/>
    <m/>
    <n v="600"/>
    <n v="1800"/>
    <n v="3600"/>
    <m/>
    <n v="600"/>
    <m/>
    <m/>
    <m/>
    <m/>
    <s v="1200 MII+600 Seaux+3600 morceaux de savon+600pièces de six pagnes"/>
  </r>
  <r>
    <s v=" 09/04/12"/>
    <d v="2013-06-30T00:00:00"/>
    <s v="Croix Rouge Malienne"/>
    <s v="Croix Rouge Belge"/>
    <s v="Croix Rouge Mali"/>
    <x v="4"/>
    <n v="6"/>
    <s v=" Cercle de MOPTI"/>
    <n v="611"/>
    <s v=" COM. DE SOCOURA                 "/>
    <n v="182"/>
    <n v="1298"/>
    <s v="NFI"/>
    <m/>
    <s v="PDI"/>
    <m/>
    <m/>
    <m/>
    <m/>
    <m/>
    <n v="849"/>
    <n v="998"/>
    <m/>
    <m/>
    <m/>
    <m/>
    <m/>
    <m/>
    <s v="715 MII+ eau de javel et grézil"/>
  </r>
  <r>
    <d v="2012-11-30T00:00:00"/>
    <d v="2012-12-18T00:00:00"/>
    <s v="Croix Rouge Malienne"/>
    <s v="Croix Rouge Danemark/Suisse"/>
    <s v="Croix Rouge Mali"/>
    <x v="4"/>
    <n v="6"/>
    <s v=" Cercle de MOPTI"/>
    <n v="611"/>
    <s v=" COM. DE MOPTI                   "/>
    <n v="2133"/>
    <n v="17064"/>
    <s v="NFI"/>
    <m/>
    <s v="PDI"/>
    <m/>
    <m/>
    <m/>
    <m/>
    <m/>
    <n v="5916"/>
    <n v="5916"/>
    <m/>
    <m/>
    <m/>
    <m/>
    <m/>
    <m/>
    <s v="5916 MII"/>
  </r>
  <r>
    <d v="2012-06-06T00:00:00"/>
    <d v="2012-06-06T00:00:00"/>
    <s v="Croix Rouge Malienne"/>
    <s v="USAID"/>
    <s v="Croix Rouge Mali"/>
    <x v="0"/>
    <n v="1"/>
    <s v=" District de Bamako"/>
    <n v="111"/>
    <s v=" COMMUNE 6      "/>
    <n v="43"/>
    <n v="301"/>
    <s v="NFI"/>
    <m/>
    <s v="PDI"/>
    <m/>
    <m/>
    <m/>
    <m/>
    <m/>
    <n v="85"/>
    <m/>
    <m/>
    <m/>
    <m/>
    <m/>
    <m/>
    <m/>
    <m/>
  </r>
  <r>
    <d v="2012-07-04T00:00:00"/>
    <d v="2012-07-04T00:00:00"/>
    <s v="Croix Rouge Malienne"/>
    <s v="USAID"/>
    <s v="Croix Rouge Mali"/>
    <x v="5"/>
    <n v="9"/>
    <s v=" Cercle de KIDAL"/>
    <n v="911"/>
    <s v=" COM. DE KIDAL                   "/>
    <n v="111"/>
    <n v="777"/>
    <s v="NFI"/>
    <m/>
    <s v="PDI"/>
    <m/>
    <m/>
    <m/>
    <m/>
    <m/>
    <n v="222"/>
    <m/>
    <m/>
    <m/>
    <m/>
    <m/>
    <m/>
    <m/>
    <m/>
  </r>
  <r>
    <d v="2012-07-28T00:00:00"/>
    <d v="2012-07-28T00:00:00"/>
    <s v="Croix Rouge Malienne"/>
    <m/>
    <s v="Croix Rouge Mali"/>
    <x v="6"/>
    <n v="8"/>
    <s v=" Cercle de GAO"/>
    <n v="811"/>
    <s v=" COM. DE GAO                     "/>
    <n v="75"/>
    <n v="525"/>
    <s v="NFI"/>
    <m/>
    <s v="PDI"/>
    <m/>
    <m/>
    <m/>
    <m/>
    <m/>
    <n v="150"/>
    <m/>
    <m/>
    <m/>
    <m/>
    <m/>
    <m/>
    <m/>
    <m/>
  </r>
  <r>
    <s v="July 2012"/>
    <s v="Dec 2012"/>
    <s v="CRS"/>
    <s v="CRS"/>
    <s v="CRS"/>
    <x v="4"/>
    <n v="6"/>
    <s v=" Cercle de MOPTI"/>
    <n v="611"/>
    <s v=" COM. DE MOPTI                   "/>
    <m/>
    <m/>
    <s v="CASH"/>
    <m/>
    <s v="PDI"/>
    <m/>
    <m/>
    <m/>
    <m/>
    <m/>
    <m/>
    <m/>
    <m/>
    <m/>
    <m/>
    <m/>
    <m/>
    <m/>
    <m/>
  </r>
  <r>
    <s v="July 2012"/>
    <s v="Dec 2012"/>
    <s v="CRS"/>
    <s v="CRS"/>
    <s v="CRS"/>
    <x v="0"/>
    <n v="1"/>
    <s v=" District de Bamako"/>
    <n v="111"/>
    <m/>
    <m/>
    <m/>
    <s v="CASH"/>
    <m/>
    <s v="PDI"/>
    <m/>
    <m/>
    <m/>
    <m/>
    <m/>
    <m/>
    <m/>
    <m/>
    <m/>
    <m/>
    <m/>
    <m/>
    <m/>
    <m/>
  </r>
  <r>
    <d v="2012-05-03T00:00:00"/>
    <d v="2012-05-03T00:00:00"/>
    <s v="CRS"/>
    <s v="USAID"/>
    <s v="CRS"/>
    <x v="4"/>
    <n v="6"/>
    <s v=" Cercle de MOPTI"/>
    <n v="611"/>
    <s v=" COM. DE MOPTI                   "/>
    <n v="12"/>
    <n v="152"/>
    <s v="NFI"/>
    <m/>
    <s v="PDI"/>
    <m/>
    <m/>
    <m/>
    <m/>
    <m/>
    <n v="36"/>
    <n v="36"/>
    <m/>
    <n v="12"/>
    <m/>
    <m/>
    <n v="36"/>
    <m/>
    <s v="SITE DE DISTRIBUTION  HCI  MOPTI"/>
  </r>
  <r>
    <d v="2012-05-04T00:00:00"/>
    <d v="2012-05-04T00:00:00"/>
    <s v="CRS"/>
    <s v="USAID"/>
    <s v="CRS"/>
    <x v="4"/>
    <n v="6"/>
    <s v=" Cercle de MOPTI"/>
    <n v="611"/>
    <s v=" COM. DE MOPTI                   "/>
    <n v="12"/>
    <n v="127"/>
    <s v="NFI"/>
    <m/>
    <s v="PDI"/>
    <m/>
    <m/>
    <m/>
    <m/>
    <m/>
    <n v="36"/>
    <n v="36"/>
    <m/>
    <n v="12"/>
    <m/>
    <m/>
    <n v="36"/>
    <m/>
    <s v="SITE DE DISTRIBUTION  VILLAGE CAN SEVARE"/>
  </r>
  <r>
    <d v="2012-05-07T00:00:00"/>
    <d v="2012-05-07T00:00:00"/>
    <s v="CRS"/>
    <s v="USAID"/>
    <s v="CRS"/>
    <x v="4"/>
    <n v="6"/>
    <s v=" Cercle de MOPTI"/>
    <n v="611"/>
    <s v=" COM. DE MOPTI                   "/>
    <n v="24"/>
    <n v="223"/>
    <s v="NFI"/>
    <m/>
    <s v="PDI"/>
    <m/>
    <m/>
    <m/>
    <m/>
    <m/>
    <n v="72"/>
    <n v="72"/>
    <m/>
    <n v="24"/>
    <m/>
    <m/>
    <n v="72"/>
    <m/>
    <s v="Banguitaba/Waillirde"/>
  </r>
  <r>
    <d v="2012-05-08T00:00:00"/>
    <d v="2012-05-08T00:00:00"/>
    <s v="CRS"/>
    <s v="USAID"/>
    <s v="CRS"/>
    <x v="4"/>
    <n v="6"/>
    <s v=" Cercle de MOPTI"/>
    <n v="611"/>
    <s v=" COM. DE MOPTI                   "/>
    <n v="25"/>
    <n v="294"/>
    <s v="NFI"/>
    <m/>
    <s v="PDI"/>
    <m/>
    <m/>
    <m/>
    <m/>
    <m/>
    <n v="75"/>
    <n v="75"/>
    <m/>
    <n v="25"/>
    <m/>
    <m/>
    <n v="75"/>
    <m/>
    <s v="Mopti Action Mopti, Bamako coura, Village Can"/>
  </r>
  <r>
    <d v="2012-05-09T00:00:00"/>
    <d v="2012-05-09T00:00:00"/>
    <s v="CRS"/>
    <s v="USAID"/>
    <s v="CRS"/>
    <x v="4"/>
    <n v="6"/>
    <s v=" Cercle de MOPTI"/>
    <n v="611"/>
    <s v=" COM. DE MOPTI                   "/>
    <n v="44"/>
    <n v="261"/>
    <s v="NFI"/>
    <m/>
    <s v="PDI"/>
    <m/>
    <m/>
    <m/>
    <m/>
    <m/>
    <n v="132"/>
    <n v="132"/>
    <m/>
    <n v="44"/>
    <m/>
    <m/>
    <n v="132"/>
    <m/>
    <s v="Banguitaba, Socoura, Tiaboli"/>
  </r>
  <r>
    <d v="2012-05-10T00:00:00"/>
    <d v="2012-05-10T00:00:00"/>
    <s v="CRS"/>
    <s v="USAID"/>
    <s v="CRS"/>
    <x v="4"/>
    <n v="6"/>
    <s v=" Cercle de MOPTI"/>
    <n v="611"/>
    <s v=" COM. DE MOPTI                   "/>
    <n v="46"/>
    <n v="402"/>
    <s v="NFI"/>
    <m/>
    <s v="PDI"/>
    <m/>
    <m/>
    <m/>
    <m/>
    <m/>
    <n v="138"/>
    <n v="138"/>
    <m/>
    <n v="46"/>
    <m/>
    <m/>
    <n v="138"/>
    <m/>
    <s v="Bamako coura, Wallirde, village can"/>
  </r>
  <r>
    <d v="2012-05-19T00:00:00"/>
    <d v="2012-05-19T00:00:00"/>
    <s v="CRS"/>
    <s v="USAID"/>
    <s v="CRS"/>
    <x v="4"/>
    <n v="6"/>
    <s v=" Cercle de MOPTI"/>
    <n v="611"/>
    <s v=" COM. DE MOPTI                   "/>
    <n v="37"/>
    <n v="285"/>
    <s v="NFI"/>
    <m/>
    <s v="PDI"/>
    <m/>
    <m/>
    <m/>
    <m/>
    <m/>
    <n v="111"/>
    <n v="111"/>
    <m/>
    <n v="37"/>
    <m/>
    <m/>
    <n v="111"/>
    <m/>
    <s v="Hotel Chauffeur"/>
  </r>
  <r>
    <d v="2012-05-31T00:00:00"/>
    <d v="2012-05-31T00:00:00"/>
    <s v="CRS"/>
    <s v="USAID"/>
    <s v="CRS"/>
    <x v="4"/>
    <n v="6"/>
    <s v=" Cercle de MOPTI"/>
    <n v="611"/>
    <s v=" COM. DE MOPTI                   "/>
    <m/>
    <n v="863"/>
    <s v="NFI"/>
    <m/>
    <s v="PDI"/>
    <m/>
    <m/>
    <m/>
    <m/>
    <m/>
    <n v="0"/>
    <n v="300"/>
    <m/>
    <m/>
    <m/>
    <m/>
    <m/>
    <m/>
    <s v="Soufourlaye/DRS"/>
  </r>
  <r>
    <d v="2012-06-06T00:00:00"/>
    <d v="2012-06-06T00:00:00"/>
    <s v="CRS"/>
    <s v="USAID"/>
    <s v="CRS"/>
    <x v="4"/>
    <n v="6"/>
    <s v=" Cercle de MOPTI"/>
    <n v="611"/>
    <s v=" COM. DE MOPTI                   "/>
    <n v="35"/>
    <n v="510"/>
    <s v="NFI"/>
    <m/>
    <s v="PDI"/>
    <m/>
    <m/>
    <m/>
    <m/>
    <m/>
    <n v="105"/>
    <n v="105"/>
    <m/>
    <n v="35"/>
    <m/>
    <m/>
    <n v="105"/>
    <m/>
    <s v="Village can, Bamako Coura"/>
  </r>
  <r>
    <d v="2012-07-05T00:00:00"/>
    <d v="2012-07-05T00:00:00"/>
    <s v="CRS"/>
    <s v="USAID"/>
    <s v="CRS"/>
    <x v="4"/>
    <n v="6"/>
    <s v=" Cercle de MOPTI"/>
    <n v="611"/>
    <s v=" COM. DE MOPTI                   "/>
    <m/>
    <n v="949"/>
    <s v="NFI"/>
    <m/>
    <s v="PDI"/>
    <m/>
    <m/>
    <m/>
    <m/>
    <m/>
    <n v="90"/>
    <n v="600"/>
    <m/>
    <m/>
    <m/>
    <m/>
    <m/>
    <m/>
    <s v="Eleves deplaces DEF AE Mopti Douentza"/>
  </r>
  <r>
    <d v="2012-08-01T00:00:00"/>
    <d v="2012-08-01T00:00:00"/>
    <s v="CRS"/>
    <s v="USAID"/>
    <s v="CRS"/>
    <x v="4"/>
    <n v="6"/>
    <s v=" Cercle de MOPTI"/>
    <n v="611"/>
    <s v=" COM. DE MOPTI                   "/>
    <n v="16"/>
    <n v="668"/>
    <s v="NFI"/>
    <m/>
    <s v="PDI"/>
    <m/>
    <m/>
    <m/>
    <m/>
    <m/>
    <n v="48"/>
    <n v="48"/>
    <m/>
    <n v="16"/>
    <m/>
    <m/>
    <n v="48"/>
    <m/>
    <s v="H chauffeur-HCI"/>
  </r>
  <r>
    <d v="2012-08-17T00:00:00"/>
    <d v="2012-08-17T00:00:00"/>
    <s v="CRS"/>
    <s v="USAID"/>
    <s v="CRS"/>
    <x v="4"/>
    <n v="6"/>
    <s v=" Cercle de MOPTI"/>
    <n v="611"/>
    <s v=" COM. DE MOPTI                   "/>
    <n v="50"/>
    <m/>
    <s v="NFI"/>
    <m/>
    <s v="PDI"/>
    <m/>
    <m/>
    <m/>
    <m/>
    <m/>
    <n v="90"/>
    <n v="1200"/>
    <m/>
    <m/>
    <m/>
    <m/>
    <n v="150"/>
    <m/>
    <s v="Appui Eleves Deplacés cours de Rattrapage"/>
  </r>
  <r>
    <d v="2012-08-29T00:00:00"/>
    <d v="2012-08-29T00:00:00"/>
    <s v="CRS"/>
    <s v="USAID"/>
    <s v="CRS"/>
    <x v="4"/>
    <n v="6"/>
    <s v=" Cercle de MOPTI"/>
    <n v="611"/>
    <s v=" COM. DE MOPTI                   "/>
    <n v="98"/>
    <n v="1076"/>
    <s v="NFI"/>
    <m/>
    <s v="PDI"/>
    <m/>
    <m/>
    <m/>
    <m/>
    <m/>
    <m/>
    <n v="294"/>
    <m/>
    <m/>
    <m/>
    <m/>
    <n v="294"/>
    <m/>
    <s v="Bamako coura-banguitaba-HCI-Village Innonde Mussawel"/>
  </r>
  <r>
    <d v="2012-09-28T00:00:00"/>
    <d v="2012-09-28T00:00:00"/>
    <s v="CRS"/>
    <s v="USAID"/>
    <s v="CRS"/>
    <x v="4"/>
    <n v="6"/>
    <s v=" Cercle de MOPTI"/>
    <n v="611"/>
    <s v=" COM. DE MOPTI                   "/>
    <n v="32"/>
    <n v="818"/>
    <s v="NFI"/>
    <m/>
    <s v="PDI"/>
    <m/>
    <m/>
    <m/>
    <m/>
    <m/>
    <n v="96"/>
    <n v="96"/>
    <m/>
    <n v="32"/>
    <m/>
    <m/>
    <n v="96"/>
    <m/>
    <s v="Mopti HCI"/>
  </r>
  <r>
    <d v="2012-09-29T00:00:00"/>
    <d v="2012-09-29T00:00:00"/>
    <s v="CRS"/>
    <s v="USAID"/>
    <s v="CRS"/>
    <x v="4"/>
    <n v="6"/>
    <s v=" Cercle de MOPTI"/>
    <n v="611"/>
    <s v=" COM. DE MOPTI                   "/>
    <n v="62"/>
    <n v="1783"/>
    <s v="NFI"/>
    <m/>
    <s v="PDI"/>
    <m/>
    <m/>
    <m/>
    <m/>
    <m/>
    <n v="186"/>
    <n v="186"/>
    <m/>
    <n v="62"/>
    <m/>
    <m/>
    <n v="186"/>
    <m/>
    <s v="Banguitaba"/>
  </r>
  <r>
    <d v="2012-04-14T00:00:00"/>
    <d v="2012-04-14T00:00:00"/>
    <s v="DGPC"/>
    <s v="DGPC"/>
    <s v="DGPC"/>
    <x v="4"/>
    <n v="6"/>
    <s v=" Cercle de MOPTI"/>
    <n v="611"/>
    <s v=" COM. DE MOPTI                   "/>
    <n v="7"/>
    <n v="42"/>
    <s v="NFI"/>
    <m/>
    <s v="PDI"/>
    <n v="7"/>
    <m/>
    <m/>
    <m/>
    <m/>
    <m/>
    <m/>
    <m/>
    <m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05-01T00:00:00"/>
    <d v="2012-05-01T00:00:00"/>
    <s v="DGPC"/>
    <s v="Plan Mali"/>
    <s v="DGPC"/>
    <x v="4"/>
    <n v="6"/>
    <s v=" Cercle de MOPTI"/>
    <n v="611"/>
    <s v=" COM. DE MOPTI                   "/>
    <n v="10"/>
    <n v="60"/>
    <s v="NFI"/>
    <m/>
    <s v="PDI"/>
    <n v="10"/>
    <n v="50"/>
    <m/>
    <m/>
    <m/>
    <n v="50"/>
    <m/>
    <m/>
    <m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06-08T00:00:00"/>
    <d v="2012-06-08T00:00:00"/>
    <s v="DGPC"/>
    <s v="UNICEF"/>
    <s v="DGPC"/>
    <x v="4"/>
    <n v="6"/>
    <s v=" Cercle de MOPTI"/>
    <n v="611"/>
    <s v=" COM. DE SEVARE"/>
    <n v="80"/>
    <n v="480"/>
    <s v="NFI"/>
    <m/>
    <s v="PDI"/>
    <m/>
    <m/>
    <m/>
    <m/>
    <n v="80"/>
    <n v="160"/>
    <n v="160"/>
    <m/>
    <n v="8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06-16T00:00:00"/>
    <d v="2012-06-16T00:00:00"/>
    <s v="DGPC"/>
    <s v="UNICEF"/>
    <s v="DGPC"/>
    <x v="4"/>
    <n v="6"/>
    <s v=" Cercle de MOPTI"/>
    <n v="611"/>
    <s v=" COM. DE MOPTI                   "/>
    <n v="40"/>
    <n v="240"/>
    <s v="NFI"/>
    <m/>
    <s v="PDI"/>
    <m/>
    <m/>
    <m/>
    <m/>
    <m/>
    <n v="80"/>
    <n v="80"/>
    <m/>
    <n v="8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09-26T00:00:00"/>
    <d v="2012-09-26T00:00:00"/>
    <s v="DGPC"/>
    <s v="UNICEF"/>
    <s v="DGPC"/>
    <x v="7"/>
    <n v="4"/>
    <s v=" Cercle de KOUTIALA"/>
    <n v="415"/>
    <s v=" COM. DE SOROBASSO               "/>
    <n v="82"/>
    <n v="492"/>
    <s v="NFI"/>
    <m/>
    <s v="PDI"/>
    <m/>
    <m/>
    <m/>
    <m/>
    <n v="280"/>
    <n v="560"/>
    <n v="560"/>
    <m/>
    <n v="28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09-26T00:00:00"/>
    <d v="2012-09-26T00:00:00"/>
    <s v="DGPC"/>
    <s v="UNICEF"/>
    <s v="DGPC"/>
    <x v="7"/>
    <n v="4"/>
    <s v=" Cercle de KOUTIALA"/>
    <n v="415"/>
    <s v=" COM. DE ZANFIGUE                "/>
    <n v="44"/>
    <n v="264"/>
    <s v="NFI"/>
    <m/>
    <s v="PDI"/>
    <m/>
    <m/>
    <m/>
    <m/>
    <n v="40"/>
    <n v="80"/>
    <n v="80"/>
    <m/>
    <n v="4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09-27T00:00:00"/>
    <d v="2012-09-27T00:00:00"/>
    <s v="DGPC"/>
    <s v="UNICEF"/>
    <s v="DGPC"/>
    <x v="8"/>
    <n v="2"/>
    <s v=" Cercle de KAYES"/>
    <n v="211"/>
    <s v=" COM. DE SOUMPOU   "/>
    <n v="45"/>
    <n v="270"/>
    <s v="NFI"/>
    <m/>
    <s v="PDI"/>
    <m/>
    <m/>
    <m/>
    <m/>
    <n v="80"/>
    <n v="160"/>
    <n v="160"/>
    <m/>
    <n v="8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09-27T00:00:00"/>
    <d v="2012-09-27T00:00:00"/>
    <s v="DGPC"/>
    <s v="UNICEF"/>
    <s v="DGPC"/>
    <x v="1"/>
    <n v="3"/>
    <s v=" Cercle de KATI"/>
    <n v="315"/>
    <s v=" COM. DE OUELESSEBOUGOU          "/>
    <n v="4"/>
    <n v="24"/>
    <s v="NFI"/>
    <m/>
    <s v="PDI"/>
    <m/>
    <m/>
    <m/>
    <m/>
    <n v="80"/>
    <n v="160"/>
    <n v="160"/>
    <m/>
    <n v="8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09-28T00:00:00"/>
    <d v="2012-09-28T00:00:00"/>
    <s v="DGPC"/>
    <s v="UNICEF"/>
    <s v="DGPC"/>
    <x v="8"/>
    <n v="2"/>
    <s v=" Cercle de DIEMA"/>
    <n v="213"/>
    <s v=" COM. DE DIEMA                   "/>
    <n v="21"/>
    <n v="126"/>
    <s v="NFI"/>
    <m/>
    <s v="PDI"/>
    <m/>
    <m/>
    <m/>
    <m/>
    <n v="160"/>
    <n v="360"/>
    <n v="320"/>
    <m/>
    <n v="16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10-01T00:00:00"/>
    <d v="2012-10-01T00:00:00"/>
    <s v="DGPC"/>
    <s v="UNICEF"/>
    <s v="DGPC"/>
    <x v="0"/>
    <n v="1"/>
    <s v=" District de Bamako"/>
    <n v="111"/>
    <m/>
    <n v="50"/>
    <n v="300"/>
    <s v="NFI"/>
    <m/>
    <s v="PDI"/>
    <m/>
    <m/>
    <m/>
    <m/>
    <n v="50"/>
    <n v="100"/>
    <n v="100"/>
    <m/>
    <n v="5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10-01T00:00:00"/>
    <d v="2012-10-01T00:00:00"/>
    <s v="DGPC"/>
    <s v="UNICEF"/>
    <s v="DGPC"/>
    <x v="0"/>
    <n v="1"/>
    <s v=" District de Bamako"/>
    <n v="111"/>
    <m/>
    <n v="212"/>
    <n v="1272"/>
    <s v="NFI"/>
    <m/>
    <s v="PDI"/>
    <m/>
    <m/>
    <m/>
    <m/>
    <n v="212"/>
    <n v="424"/>
    <n v="424"/>
    <m/>
    <n v="212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10-06T00:00:00"/>
    <d v="2012-10-06T00:00:00"/>
    <s v="DGPC"/>
    <s v="UNICEF"/>
    <s v="DGPC"/>
    <x v="0"/>
    <n v="1"/>
    <s v=" District de Bamako"/>
    <n v="111"/>
    <m/>
    <n v="8"/>
    <n v="48"/>
    <s v="NFI"/>
    <m/>
    <s v="PDI"/>
    <m/>
    <m/>
    <m/>
    <m/>
    <m/>
    <n v="17"/>
    <n v="17"/>
    <m/>
    <n v="17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10-07T00:00:00"/>
    <d v="2012-10-07T00:00:00"/>
    <s v="DGPC"/>
    <s v="UNICEF"/>
    <s v="DGPC"/>
    <x v="1"/>
    <n v="3"/>
    <s v=" Cercle de KOULIKORO"/>
    <n v="311"/>
    <s v=" COM. DE KOULIKORO               "/>
    <n v="2"/>
    <n v="12"/>
    <s v="NFI"/>
    <m/>
    <s v="PDI"/>
    <m/>
    <m/>
    <m/>
    <m/>
    <m/>
    <n v="4"/>
    <n v="4"/>
    <m/>
    <n v="4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10-09T00:00:00"/>
    <d v="2012-10-09T00:00:00"/>
    <s v="DGPC"/>
    <s v="UNICEF"/>
    <s v="DGPC"/>
    <x v="4"/>
    <n v="6"/>
    <s v=" Cercle de MOPTI"/>
    <n v="611"/>
    <s v=" COM. DE MOPTI                   "/>
    <n v="45"/>
    <n v="270"/>
    <s v="NFI"/>
    <m/>
    <s v="PDI"/>
    <m/>
    <m/>
    <m/>
    <m/>
    <m/>
    <n v="89"/>
    <n v="89"/>
    <m/>
    <n v="89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10-11T00:00:00"/>
    <d v="2012-10-11T00:00:00"/>
    <s v="DGPC"/>
    <s v="UNICEF"/>
    <s v="DGPC"/>
    <x v="7"/>
    <n v="4"/>
    <s v=" Cercle de SIKASSO    "/>
    <n v="411"/>
    <s v=" COM. DE SIKASSO                 "/>
    <n v="33"/>
    <n v="198"/>
    <s v="NFI"/>
    <m/>
    <s v="PDI"/>
    <m/>
    <m/>
    <m/>
    <m/>
    <m/>
    <n v="66"/>
    <n v="66"/>
    <m/>
    <n v="66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10-12T00:00:00"/>
    <d v="2012-10-12T00:00:00"/>
    <s v="DGPC"/>
    <s v="UNICEF"/>
    <s v="DGPC"/>
    <x v="8"/>
    <n v="2"/>
    <s v=" Cercle de KAYES"/>
    <n v="211"/>
    <s v=" COM. DE KAYES                   "/>
    <n v="33"/>
    <n v="198"/>
    <s v="NFI"/>
    <m/>
    <s v="PDI"/>
    <m/>
    <m/>
    <m/>
    <m/>
    <m/>
    <n v="66"/>
    <n v="66"/>
    <m/>
    <n v="66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12-08T00:00:00"/>
    <d v="2012-12-08T00:00:00"/>
    <s v="DGPC"/>
    <s v="UNICEF"/>
    <s v="DGPC"/>
    <x v="2"/>
    <n v="5"/>
    <s v=" Cercle de SEGOU"/>
    <n v="511"/>
    <s v=" COM. DE SEGOU                   "/>
    <n v="255"/>
    <n v="1530"/>
    <s v="NFI"/>
    <m/>
    <s v="PDI"/>
    <m/>
    <m/>
    <m/>
    <m/>
    <m/>
    <n v="510"/>
    <n v="510"/>
    <m/>
    <n v="51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3-01-02T00:00:00"/>
    <d v="2013-01-04T00:00:00"/>
    <s v="IOM"/>
    <s v="IOM"/>
    <s v="IOM"/>
    <x v="0"/>
    <n v="1"/>
    <s v=" District de Bamako"/>
    <n v="111"/>
    <s v="Commune 3 et 4 "/>
    <n v="359"/>
    <n v="2154"/>
    <s v="NFI"/>
    <m/>
    <s v="PDI"/>
    <m/>
    <m/>
    <m/>
    <m/>
    <m/>
    <n v="718"/>
    <n v="718"/>
    <m/>
    <n v="718"/>
    <n v="718"/>
    <n v="718"/>
    <n v="718"/>
    <m/>
    <s v="KIT CUISINE:  Marmites 7kgs, Tasses Inox, 3 Gobelets métaliques, 3 Cuillères métaliques,Louches métaliques, 20 Savons de ménage, Bouilloires, 90 PUR "/>
  </r>
  <r>
    <d v="2012-11-02T00:00:00"/>
    <d v="2012-11-02T00:00:00"/>
    <s v="IRC"/>
    <s v="UNICEF"/>
    <s v="IRC"/>
    <x v="6"/>
    <n v="8"/>
    <s v=" Cercle de ANSONGO"/>
    <n v="812"/>
    <s v=" COM. DE ANSONGO                 "/>
    <n v="1000"/>
    <n v="6000"/>
    <s v="NFI"/>
    <m/>
    <s v="PDI"/>
    <m/>
    <m/>
    <m/>
    <m/>
    <n v="200"/>
    <n v="400"/>
    <n v="400"/>
    <m/>
    <n v="20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04-19T00:00:00"/>
    <d v="2012-04-19T00:00:00"/>
    <s v="Médecin du Monde Belgique"/>
    <s v="UNICEF"/>
    <s v="Médecin du Monde Belgique"/>
    <x v="6"/>
    <n v="8"/>
    <s v=" Cercle de BOUREM"/>
    <n v="813"/>
    <s v=" COM. DE BOUREM                  "/>
    <n v="100"/>
    <n v="600"/>
    <s v="NFI"/>
    <m/>
    <s v="PDI"/>
    <m/>
    <m/>
    <m/>
    <m/>
    <n v="200"/>
    <n v="400"/>
    <n v="400"/>
    <m/>
    <n v="20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07-06T00:00:00"/>
    <d v="2012-07-06T00:00:00"/>
    <s v="Médecin du Monde Belgique"/>
    <s v="UNICEF"/>
    <s v="Médecin du Monde Belgique"/>
    <x v="6"/>
    <n v="8"/>
    <s v=" Cercle de MENAKA"/>
    <n v="814"/>
    <s v=" COM. DE MENAKA                  "/>
    <n v="200"/>
    <n v="1200"/>
    <s v="NFI"/>
    <m/>
    <s v="PDI"/>
    <m/>
    <m/>
    <m/>
    <m/>
    <n v="100"/>
    <n v="200"/>
    <n v="200"/>
    <m/>
    <n v="10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04-11T00:00:00"/>
    <d v="2012-04-11T00:00:00"/>
    <s v="Médecin du Monde France"/>
    <s v="UNICEF"/>
    <s v="Médecin du Monde France"/>
    <x v="5"/>
    <n v="9"/>
    <s v=" Cercle de ABEIBARA"/>
    <n v="912"/>
    <s v=" COM. DE  TINZAWATENE            "/>
    <n v="300"/>
    <n v="1800"/>
    <s v="NFI"/>
    <m/>
    <s v="PDI"/>
    <m/>
    <m/>
    <m/>
    <m/>
    <n v="400"/>
    <n v="800"/>
    <n v="800"/>
    <m/>
    <n v="40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04-11T00:00:00"/>
    <d v="2012-04-11T00:00:00"/>
    <s v="Médecin du Monde France"/>
    <s v="UNICEF"/>
    <s v="Médecin du Monde France"/>
    <x v="3"/>
    <n v="7"/>
    <s v=" Cercle de TOMBOUCTOU"/>
    <n v="711"/>
    <s v=" COM. DE TOMBOUCTOU              "/>
    <n v="200"/>
    <n v="1200"/>
    <s v="NFI"/>
    <m/>
    <s v="PDI"/>
    <m/>
    <m/>
    <m/>
    <m/>
    <n v="200"/>
    <n v="400"/>
    <n v="400"/>
    <m/>
    <n v="20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04-11T00:00:00"/>
    <d v="2012-04-11T00:00:00"/>
    <s v="Médecin du Monde France"/>
    <s v="UNICEF"/>
    <s v="Médecin du Monde France"/>
    <x v="3"/>
    <n v="7"/>
    <s v=" Cercle de TOMBOUCTOU"/>
    <n v="711"/>
    <s v=" COM. DE TOMBOUCTOU              "/>
    <n v="200"/>
    <n v="1200"/>
    <s v="NFI"/>
    <m/>
    <s v="PDI"/>
    <m/>
    <m/>
    <m/>
    <m/>
    <n v="200"/>
    <n v="400"/>
    <n v="400"/>
    <m/>
    <n v="20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s v="Du 5 /11/2012"/>
    <d v="2012-11-30T00:00:00"/>
    <s v="UNHCR"/>
    <s v="UNHCR"/>
    <s v="Intersos"/>
    <x v="4"/>
    <n v="6"/>
    <s v=" Cercle de MOPTI"/>
    <n v="611"/>
    <s v=" COM. DE SOCOURA                 "/>
    <n v="2500"/>
    <n v="15000"/>
    <s v="NFI"/>
    <m/>
    <s v="PDI"/>
    <m/>
    <m/>
    <m/>
    <n v="2"/>
    <n v="10"/>
    <n v="3100"/>
    <n v="3100"/>
    <m/>
    <n v="383"/>
    <n v="600"/>
    <n v="2856"/>
    <n v="4500"/>
    <m/>
    <s v="Composition de menages: 6,5 perspnnes. Composition du kit de cuisine: 2 marmites,4 cuilleres a soupe, 1 couteau, 1 louche, 2 tasses,  "/>
  </r>
  <r>
    <s v="Du 01/12 /2012"/>
    <d v="2012-12-31T00:00:00"/>
    <s v="UNHCR"/>
    <s v="UNHCR"/>
    <s v="Intersos"/>
    <x v="4"/>
    <n v="6"/>
    <s v=" Cercle de MOPTI"/>
    <n v="611"/>
    <s v=" COM. DE SOCOURA                 "/>
    <n v="1864"/>
    <n v="11184"/>
    <s v="NFI"/>
    <m/>
    <s v="PDI"/>
    <m/>
    <m/>
    <m/>
    <m/>
    <n v="1665"/>
    <n v="5440"/>
    <n v="2625"/>
    <m/>
    <n v="326"/>
    <n v="3800"/>
    <m/>
    <n v="1200"/>
    <m/>
    <s v="Composition de menages: 6,5 perspnnes. Composition du kit de cuisine: 2 marmites,4 cuilleres a soupe, 1 couteau, 1 louche, 2 tasses,  3 bidons de 10 litres"/>
  </r>
  <r>
    <s v=" 30/01/2013"/>
    <s v=" 30/01/2013"/>
    <s v="UNHCR"/>
    <s v="UNHCR"/>
    <s v="Intersos"/>
    <x v="4"/>
    <n v="6"/>
    <s v=" Cercle de MOPTI"/>
    <n v="611"/>
    <s v=" COM. DE SOCOURA                 "/>
    <n v="34"/>
    <n v="221"/>
    <s v="NFI"/>
    <m/>
    <s v="PDI"/>
    <m/>
    <m/>
    <m/>
    <m/>
    <n v="34"/>
    <n v="68"/>
    <n v="68"/>
    <m/>
    <n v="34"/>
    <n v="34"/>
    <n v="68"/>
    <n v="68"/>
    <m/>
    <s v="Composition de menages: 6,5 perspnnes. Composition du kit de cuisine: 2 marmites,3 cuilleres a soupe, 1 couteau, 1 louche,  1 bidon de 10 litres"/>
  </r>
  <r>
    <d v="2012-08-01T00:00:00"/>
    <d v="2013-08-15T00:00:00"/>
    <s v="USAID"/>
    <s v="Cooperation néelandaise"/>
    <s v="USAID"/>
    <x v="4"/>
    <n v="6"/>
    <s v=" Cercle de MOPTI"/>
    <n v="611"/>
    <s v=" COM. DE FATOMA                  "/>
    <n v="192"/>
    <n v="1536"/>
    <s v="NFI"/>
    <m/>
    <s v="PDI"/>
    <m/>
    <m/>
    <m/>
    <m/>
    <m/>
    <n v="384"/>
    <n v="384"/>
    <m/>
    <n v="192"/>
    <m/>
    <m/>
    <m/>
    <m/>
    <s v="192 morceaux savon+192L eau de javel+192L Grézil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123">
  <r>
    <d v="2012-10-05T00:00:00"/>
    <d v="2012-10-05T00:00:00"/>
    <s v="ACTED"/>
    <s v="ACTED"/>
    <s v="ACTED"/>
    <x v="0"/>
    <n v="1"/>
    <s v=" District de Bamako"/>
    <n v="111"/>
    <s v=" COMMUNE 5"/>
    <n v="415"/>
    <n v="3674"/>
    <s v="NFI"/>
    <m/>
    <s v="PDI"/>
    <m/>
    <n v="415"/>
    <m/>
    <m/>
    <m/>
    <n v="830"/>
    <n v="830"/>
    <m/>
    <n v="415"/>
    <m/>
    <m/>
    <n v="830"/>
    <m/>
    <s v="Composition du kit de cuisine: 1 bassine, 1 grande tasse, 1 seau en plastique, 1 paquet de savon, 1 plateau, 1 louche, 6 gobelets, 6 cuillères, 1 couteau de cuisine, 2 marmites, 1 jerrican, 1 fourneau"/>
  </r>
  <r>
    <d v="2012-10-05T00:00:00"/>
    <d v="2012-10-05T00:00:00"/>
    <s v="ACTED"/>
    <s v="ACTED"/>
    <s v="ACTED"/>
    <x v="1"/>
    <n v="3"/>
    <s v=" Cercle de KATI"/>
    <n v="315"/>
    <s v=" COM. DE KALABANCORO             "/>
    <n v="285"/>
    <n v="798"/>
    <s v="NFI"/>
    <m/>
    <s v="PDI"/>
    <m/>
    <n v="285"/>
    <m/>
    <m/>
    <m/>
    <n v="570"/>
    <n v="570"/>
    <m/>
    <n v="285"/>
    <m/>
    <m/>
    <n v="570"/>
    <m/>
    <s v="Composition du kit de cuisine: 1 bassine, 1 grande tasse, 1 seau en plastique, 1 paquet de savon, 1 plateau, 1 louche, 6 gobelets, 6 cuillères, 1 couteau de cuisine, 2 marmites, 1 jerrican, 1 fourneau"/>
  </r>
  <r>
    <d v="2012-10-19T00:00:00"/>
    <d v="2012-10-19T00:00:00"/>
    <s v="ACTED"/>
    <s v="UNICEF"/>
    <s v="ACTED"/>
    <x v="2"/>
    <n v="5"/>
    <s v=" Cercle de  TOMINIAN"/>
    <n v="517"/>
    <s v=" COM. DE TOMINIAN                "/>
    <n v="262"/>
    <n v="1572"/>
    <s v="NFI"/>
    <m/>
    <s v="PDI"/>
    <m/>
    <m/>
    <m/>
    <m/>
    <n v="262"/>
    <n v="524"/>
    <n v="524"/>
    <m/>
    <n v="262"/>
    <m/>
    <m/>
    <m/>
    <m/>
    <s v="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10-19T00:00:00"/>
    <d v="2012-10-19T00:00:00"/>
    <s v="ACTED"/>
    <s v="UNICEF"/>
    <s v="ACTED"/>
    <x v="2"/>
    <n v="5"/>
    <s v=" Cercle de  TOMINIAN"/>
    <n v="517"/>
    <s v=" COM. DE  FANGASSO               "/>
    <n v="284"/>
    <n v="1704"/>
    <s v="NFI"/>
    <m/>
    <s v="PDI"/>
    <m/>
    <m/>
    <m/>
    <m/>
    <n v="284"/>
    <n v="568"/>
    <n v="568"/>
    <m/>
    <n v="284"/>
    <m/>
    <m/>
    <m/>
    <m/>
    <s v="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10-19T00:00:00"/>
    <d v="2012-10-19T00:00:00"/>
    <s v="ACTED"/>
    <s v="UNICEF"/>
    <s v="ACTED"/>
    <x v="2"/>
    <n v="5"/>
    <s v=" Cercle de  TOMINIAN"/>
    <n v="517"/>
    <s v=" COM. DE OUAN                    "/>
    <n v="51"/>
    <n v="306"/>
    <s v="NFI"/>
    <m/>
    <s v="PDI"/>
    <m/>
    <m/>
    <m/>
    <m/>
    <n v="51"/>
    <n v="102"/>
    <n v="102"/>
    <m/>
    <n v="51"/>
    <m/>
    <m/>
    <m/>
    <m/>
    <s v="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04-07T00:00:00"/>
    <d v="2012-04-07T00:00:00"/>
    <s v="ALIMA"/>
    <s v="UNICEF"/>
    <s v="ALIMA"/>
    <x v="3"/>
    <n v="7"/>
    <s v=" Cercle de TOMBOUCTOU"/>
    <n v="711"/>
    <s v=" COM. DE TOMBOUCTOU              "/>
    <n v="200"/>
    <n v="1200"/>
    <s v="NFI"/>
    <m/>
    <s v="PDI"/>
    <m/>
    <m/>
    <m/>
    <m/>
    <n v="200"/>
    <n v="400"/>
    <n v="400"/>
    <m/>
    <n v="20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10-30T00:00:00"/>
    <d v="2012-10-31T00:00:00"/>
    <s v="ALIMA"/>
    <s v="UNICEF"/>
    <s v="ALIMA"/>
    <x v="3"/>
    <n v="7"/>
    <s v=" Cercle de DIRE"/>
    <n v="712"/>
    <s v=" COM. DE DIRE                    "/>
    <n v="100"/>
    <n v="600"/>
    <s v="NFI"/>
    <m/>
    <s v="PDI"/>
    <m/>
    <m/>
    <m/>
    <m/>
    <n v="100"/>
    <n v="200"/>
    <n v="200"/>
    <m/>
    <n v="10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09-27T00:00:00"/>
    <d v="2012-09-27T00:00:00"/>
    <s v="AVSF"/>
    <s v="UNICEF"/>
    <s v="AVSF"/>
    <x v="3"/>
    <n v="7"/>
    <s v=" Cercle de TOMBOUCTOU"/>
    <n v="711"/>
    <s v=" COM. DE  BER                    "/>
    <n v="200"/>
    <n v="1200"/>
    <s v="NFI"/>
    <m/>
    <s v="PDI"/>
    <m/>
    <m/>
    <m/>
    <m/>
    <n v="200"/>
    <n v="400"/>
    <n v="400"/>
    <m/>
    <n v="20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09-28T00:00:00"/>
    <d v="2012-09-28T00:00:00"/>
    <s v="AVSF"/>
    <s v="UNICEF"/>
    <s v="AVSF"/>
    <x v="3"/>
    <n v="7"/>
    <s v=" Cercle de TOMBOUCTOU"/>
    <n v="711"/>
    <s v=" COM. DE TOMBOUCTOU              "/>
    <n v="200"/>
    <n v="1200"/>
    <s v="NFI"/>
    <m/>
    <s v="PDI"/>
    <m/>
    <m/>
    <m/>
    <m/>
    <n v="200"/>
    <n v="400"/>
    <n v="400"/>
    <m/>
    <n v="20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10-01T00:00:00"/>
    <d v="2012-10-01T00:00:00"/>
    <s v="AVSF"/>
    <s v="UNICEF"/>
    <s v="AVSF"/>
    <x v="3"/>
    <n v="7"/>
    <s v=" Cercle de TOMBOUCTOU"/>
    <n v="711"/>
    <s v=" COM. DE TOMBOUCTOU              "/>
    <n v="120"/>
    <n v="720"/>
    <s v="NFI"/>
    <m/>
    <s v="PDI"/>
    <m/>
    <m/>
    <m/>
    <m/>
    <n v="120"/>
    <n v="240"/>
    <n v="240"/>
    <m/>
    <n v="12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10-01T00:00:00"/>
    <d v="2012-10-01T00:00:00"/>
    <s v="AVSF"/>
    <s v="UNICEF"/>
    <s v="AVSF"/>
    <x v="3"/>
    <n v="7"/>
    <s v=" Cercle de TOMBOUCTOU"/>
    <n v="711"/>
    <s v=" COM. DE TOMBOUCTOU              "/>
    <n v="120"/>
    <n v="720"/>
    <s v="NFI"/>
    <m/>
    <s v="PDI"/>
    <m/>
    <m/>
    <m/>
    <m/>
    <n v="120"/>
    <n v="240"/>
    <n v="240"/>
    <m/>
    <n v="12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10-18T00:00:00"/>
    <d v="2012-10-18T00:00:00"/>
    <s v="AVSF"/>
    <s v="UNICEF"/>
    <s v="AVSF"/>
    <x v="3"/>
    <n v="7"/>
    <s v=" Cercle de TOMBOUCTOU"/>
    <n v="711"/>
    <s v=" COM. DE TOMBOUCTOU              "/>
    <n v="80"/>
    <n v="480"/>
    <s v="NFI"/>
    <m/>
    <s v="PDI"/>
    <m/>
    <m/>
    <m/>
    <m/>
    <n v="80"/>
    <n v="160"/>
    <n v="160"/>
    <m/>
    <n v="8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10-18T00:00:00"/>
    <d v="2012-10-18T00:00:00"/>
    <s v="AVSF"/>
    <s v="UNICEF"/>
    <s v="AVSF"/>
    <x v="3"/>
    <n v="7"/>
    <s v=" Cercle de TOMBOUCTOU"/>
    <n v="711"/>
    <s v=" COM. DE TOMBOUCTOU              "/>
    <n v="80"/>
    <n v="480"/>
    <s v="NFI"/>
    <m/>
    <s v="PDI"/>
    <m/>
    <m/>
    <m/>
    <m/>
    <n v="80"/>
    <n v="160"/>
    <n v="160"/>
    <m/>
    <n v="8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s v="Décembre"/>
    <s v="Décembre"/>
    <s v="CARE"/>
    <s v="UNICEF"/>
    <s v="CARE"/>
    <x v="4"/>
    <n v="6"/>
    <s v=" Cercle de BANKASS"/>
    <n v="613"/>
    <s v=" COM. DE BANKASS                 "/>
    <n v="180"/>
    <n v="1080"/>
    <s v="NFI"/>
    <m/>
    <s v="PDI"/>
    <m/>
    <m/>
    <m/>
    <m/>
    <n v="280"/>
    <n v="560"/>
    <n v="560"/>
    <m/>
    <n v="28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s v="Décembre"/>
    <s v="Décembre"/>
    <s v="CARE"/>
    <s v="UNICEF"/>
    <s v="CARE"/>
    <x v="4"/>
    <n v="6"/>
    <s v=" Cercle de KORO"/>
    <n v="616"/>
    <s v=" COM. DE KORO                    "/>
    <n v="198"/>
    <n v="1188"/>
    <s v="NFI"/>
    <m/>
    <s v="PDI"/>
    <m/>
    <m/>
    <m/>
    <m/>
    <n v="300"/>
    <n v="600"/>
    <n v="600"/>
    <m/>
    <n v="30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s v="Mai"/>
    <s v="Mai"/>
    <s v="CARE"/>
    <s v="UNICEF"/>
    <s v="CARE"/>
    <x v="4"/>
    <n v="6"/>
    <s v=" Cercle de  BANDIAGARA"/>
    <n v="612"/>
    <s v=" COM. DE BANDIAGARA              "/>
    <n v="152"/>
    <n v="912"/>
    <s v="NFI"/>
    <m/>
    <s v="PDI"/>
    <m/>
    <m/>
    <m/>
    <m/>
    <n v="150"/>
    <n v="300"/>
    <n v="300"/>
    <m/>
    <n v="15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s v="Mai"/>
    <s v="Mai"/>
    <s v="CARE"/>
    <s v="UNICEF"/>
    <s v="CARE"/>
    <x v="4"/>
    <n v="6"/>
    <s v=" Cercle de  DJENNE"/>
    <n v="614"/>
    <s v=" COM. DE DJENNE                  "/>
    <n v="171"/>
    <n v="1026"/>
    <s v="NFI"/>
    <m/>
    <s v="PDI"/>
    <m/>
    <m/>
    <m/>
    <m/>
    <n v="150"/>
    <n v="300"/>
    <n v="300"/>
    <m/>
    <n v="15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s v="Mai"/>
    <s v="Mai"/>
    <s v="CARE"/>
    <s v="UNICEF"/>
    <s v="CARE"/>
    <x v="4"/>
    <n v="6"/>
    <s v=" Cercle de MOPTI"/>
    <n v="611"/>
    <s v=" COM. DE MOPTI                   "/>
    <n v="301"/>
    <n v="1806"/>
    <s v="NFI"/>
    <m/>
    <s v="PDI"/>
    <m/>
    <m/>
    <m/>
    <m/>
    <n v="180"/>
    <n v="360"/>
    <n v="360"/>
    <m/>
    <n v="18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05-11T00:00:00"/>
    <d v="2012-05-11T00:00:00"/>
    <s v="Croix Rouge Malienne"/>
    <s v="AVSF"/>
    <s v="Croix Rouge Mali"/>
    <x v="4"/>
    <n v="6"/>
    <s v=" Cercle de MOPTI"/>
    <n v="611"/>
    <s v=" COM. DE MOPTI                   "/>
    <n v="145"/>
    <n v="1015"/>
    <s v="NFI"/>
    <m/>
    <s v="PDI"/>
    <m/>
    <m/>
    <m/>
    <m/>
    <m/>
    <n v="290"/>
    <m/>
    <m/>
    <m/>
    <m/>
    <m/>
    <m/>
    <m/>
    <m/>
  </r>
  <r>
    <s v=" 1/06/12"/>
    <d v="2013-07-31T00:00:00"/>
    <s v="Croix Rouge Malienne"/>
    <s v="CICR"/>
    <s v="Croix Rouge Mali"/>
    <x v="4"/>
    <n v="6"/>
    <s v=" Cercle de MOPTI"/>
    <n v="611"/>
    <s v=" COM. DE MOPTI                   "/>
    <n v="283"/>
    <n v="1676"/>
    <s v="NFI"/>
    <m/>
    <s v="PDI"/>
    <m/>
    <m/>
    <m/>
    <m/>
    <n v="600"/>
    <n v="1800"/>
    <n v="3600"/>
    <m/>
    <n v="600"/>
    <m/>
    <m/>
    <m/>
    <m/>
    <s v="1200 MII+600 Seaux+3600 morceaux de savon+600pièces de six pagnes"/>
  </r>
  <r>
    <s v=" 09/04/12"/>
    <d v="2013-06-30T00:00:00"/>
    <s v="Croix Rouge Malienne"/>
    <s v="Croix Rouge Belge"/>
    <s v="Croix Rouge Mali"/>
    <x v="4"/>
    <n v="6"/>
    <s v=" Cercle de MOPTI"/>
    <n v="611"/>
    <s v=" COM. DE SOCOURA                 "/>
    <n v="182"/>
    <n v="1298"/>
    <s v="NFI"/>
    <m/>
    <s v="PDI"/>
    <m/>
    <m/>
    <m/>
    <m/>
    <m/>
    <n v="849"/>
    <n v="998"/>
    <m/>
    <m/>
    <m/>
    <m/>
    <m/>
    <m/>
    <s v="715 MII+ eau de javel et grézil"/>
  </r>
  <r>
    <d v="2012-11-30T00:00:00"/>
    <d v="2012-12-18T00:00:00"/>
    <s v="Croix Rouge Malienne"/>
    <s v="Croix Rouge Danemark/Suisse"/>
    <s v="Croix Rouge Mali"/>
    <x v="4"/>
    <n v="6"/>
    <s v=" Cercle de MOPTI"/>
    <n v="611"/>
    <s v=" COM. DE MOPTI                   "/>
    <n v="2133"/>
    <n v="17064"/>
    <s v="NFI"/>
    <m/>
    <s v="PDI"/>
    <m/>
    <m/>
    <m/>
    <m/>
    <m/>
    <n v="5916"/>
    <n v="5916"/>
    <m/>
    <m/>
    <m/>
    <m/>
    <m/>
    <m/>
    <s v="5916 MII"/>
  </r>
  <r>
    <d v="2012-06-06T00:00:00"/>
    <d v="2012-06-06T00:00:00"/>
    <s v="Croix Rouge Malienne"/>
    <s v="USAID"/>
    <s v="Croix Rouge Mali"/>
    <x v="0"/>
    <n v="1"/>
    <s v=" District de Bamako"/>
    <n v="111"/>
    <s v=" COMMUNE 6      "/>
    <n v="43"/>
    <n v="301"/>
    <s v="NFI"/>
    <m/>
    <s v="PDI"/>
    <m/>
    <m/>
    <m/>
    <m/>
    <m/>
    <n v="85"/>
    <m/>
    <m/>
    <m/>
    <m/>
    <m/>
    <m/>
    <m/>
    <m/>
  </r>
  <r>
    <d v="2012-07-04T00:00:00"/>
    <d v="2012-07-04T00:00:00"/>
    <s v="Croix Rouge Malienne"/>
    <s v="USAID"/>
    <s v="Croix Rouge Mali"/>
    <x v="5"/>
    <n v="9"/>
    <s v=" Cercle de KIDAL"/>
    <n v="911"/>
    <s v=" COM. DE KIDAL                   "/>
    <n v="111"/>
    <n v="777"/>
    <s v="NFI"/>
    <m/>
    <s v="PDI"/>
    <m/>
    <m/>
    <m/>
    <m/>
    <m/>
    <n v="222"/>
    <m/>
    <m/>
    <m/>
    <m/>
    <m/>
    <m/>
    <m/>
    <m/>
  </r>
  <r>
    <d v="2012-07-28T00:00:00"/>
    <d v="2012-07-28T00:00:00"/>
    <s v="Croix Rouge Malienne"/>
    <m/>
    <s v="Croix Rouge Mali"/>
    <x v="6"/>
    <n v="8"/>
    <s v=" Cercle de GAO"/>
    <n v="811"/>
    <s v=" COM. DE GAO                     "/>
    <n v="75"/>
    <n v="525"/>
    <s v="NFI"/>
    <m/>
    <s v="PDI"/>
    <m/>
    <m/>
    <m/>
    <m/>
    <m/>
    <n v="150"/>
    <m/>
    <m/>
    <m/>
    <m/>
    <m/>
    <m/>
    <m/>
    <m/>
  </r>
  <r>
    <s v="July 2012"/>
    <s v="Dec 2012"/>
    <s v="CRS"/>
    <s v="CRS"/>
    <s v="CRS"/>
    <x v="4"/>
    <n v="6"/>
    <s v=" Cercle de MOPTI"/>
    <n v="611"/>
    <s v=" COM. DE MOPTI                   "/>
    <m/>
    <m/>
    <s v="CASH"/>
    <m/>
    <s v="PDI"/>
    <m/>
    <m/>
    <m/>
    <m/>
    <m/>
    <m/>
    <m/>
    <m/>
    <m/>
    <m/>
    <m/>
    <m/>
    <m/>
    <m/>
  </r>
  <r>
    <s v="July 2012"/>
    <s v="Dec 2012"/>
    <s v="CRS"/>
    <s v="CRS"/>
    <s v="CRS"/>
    <x v="0"/>
    <n v="1"/>
    <s v=" District de Bamako"/>
    <n v="111"/>
    <m/>
    <m/>
    <m/>
    <s v="CASH"/>
    <m/>
    <s v="PDI"/>
    <m/>
    <m/>
    <m/>
    <m/>
    <m/>
    <m/>
    <m/>
    <m/>
    <m/>
    <m/>
    <m/>
    <m/>
    <m/>
    <m/>
  </r>
  <r>
    <d v="2012-05-03T00:00:00"/>
    <d v="2012-05-03T00:00:00"/>
    <s v="CRS"/>
    <s v="USAID"/>
    <s v="CRS"/>
    <x v="4"/>
    <n v="6"/>
    <s v=" Cercle de MOPTI"/>
    <n v="611"/>
    <s v=" COM. DE MOPTI                   "/>
    <n v="12"/>
    <n v="152"/>
    <s v="NFI"/>
    <m/>
    <s v="PDI"/>
    <m/>
    <m/>
    <m/>
    <m/>
    <m/>
    <n v="36"/>
    <n v="36"/>
    <m/>
    <n v="12"/>
    <m/>
    <m/>
    <n v="36"/>
    <m/>
    <s v="SITE DE DISTRIBUTION  HCI  MOPTI"/>
  </r>
  <r>
    <d v="2012-05-04T00:00:00"/>
    <d v="2012-05-04T00:00:00"/>
    <s v="CRS"/>
    <s v="USAID"/>
    <s v="CRS"/>
    <x v="4"/>
    <n v="6"/>
    <s v=" Cercle de MOPTI"/>
    <n v="611"/>
    <s v=" COM. DE MOPTI                   "/>
    <n v="12"/>
    <n v="127"/>
    <s v="NFI"/>
    <m/>
    <s v="PDI"/>
    <m/>
    <m/>
    <m/>
    <m/>
    <m/>
    <n v="36"/>
    <n v="36"/>
    <m/>
    <n v="12"/>
    <m/>
    <m/>
    <n v="36"/>
    <m/>
    <s v="SITE DE DISTRIBUTION  VILLAGE CAN SEVARE"/>
  </r>
  <r>
    <d v="2012-05-07T00:00:00"/>
    <d v="2012-05-07T00:00:00"/>
    <s v="CRS"/>
    <s v="USAID"/>
    <s v="CRS"/>
    <x v="4"/>
    <n v="6"/>
    <s v=" Cercle de MOPTI"/>
    <n v="611"/>
    <s v=" COM. DE MOPTI                   "/>
    <n v="24"/>
    <n v="223"/>
    <s v="NFI"/>
    <m/>
    <s v="PDI"/>
    <m/>
    <m/>
    <m/>
    <m/>
    <m/>
    <n v="72"/>
    <n v="72"/>
    <m/>
    <n v="24"/>
    <m/>
    <m/>
    <n v="72"/>
    <m/>
    <s v="Banguitaba/Waillirde"/>
  </r>
  <r>
    <d v="2012-05-08T00:00:00"/>
    <d v="2012-05-08T00:00:00"/>
    <s v="CRS"/>
    <s v="USAID"/>
    <s v="CRS"/>
    <x v="4"/>
    <n v="6"/>
    <s v=" Cercle de MOPTI"/>
    <n v="611"/>
    <s v=" COM. DE MOPTI                   "/>
    <n v="25"/>
    <n v="294"/>
    <s v="NFI"/>
    <m/>
    <s v="PDI"/>
    <m/>
    <m/>
    <m/>
    <m/>
    <m/>
    <n v="75"/>
    <n v="75"/>
    <m/>
    <n v="25"/>
    <m/>
    <m/>
    <n v="75"/>
    <m/>
    <s v="Mopti Action Mopti, Bamako coura, Village Can"/>
  </r>
  <r>
    <d v="2012-05-09T00:00:00"/>
    <d v="2012-05-09T00:00:00"/>
    <s v="CRS"/>
    <s v="USAID"/>
    <s v="CRS"/>
    <x v="4"/>
    <n v="6"/>
    <s v=" Cercle de MOPTI"/>
    <n v="611"/>
    <s v=" COM. DE MOPTI                   "/>
    <n v="44"/>
    <n v="261"/>
    <s v="NFI"/>
    <m/>
    <s v="PDI"/>
    <m/>
    <m/>
    <m/>
    <m/>
    <m/>
    <n v="132"/>
    <n v="132"/>
    <m/>
    <n v="44"/>
    <m/>
    <m/>
    <n v="132"/>
    <m/>
    <s v="Banguitaba, Socoura, Tiaboli"/>
  </r>
  <r>
    <d v="2012-05-10T00:00:00"/>
    <d v="2012-05-10T00:00:00"/>
    <s v="CRS"/>
    <s v="USAID"/>
    <s v="CRS"/>
    <x v="4"/>
    <n v="6"/>
    <s v=" Cercle de MOPTI"/>
    <n v="611"/>
    <s v=" COM. DE MOPTI                   "/>
    <n v="46"/>
    <n v="402"/>
    <s v="NFI"/>
    <m/>
    <s v="PDI"/>
    <m/>
    <m/>
    <m/>
    <m/>
    <m/>
    <n v="138"/>
    <n v="138"/>
    <m/>
    <n v="46"/>
    <m/>
    <m/>
    <n v="138"/>
    <m/>
    <s v="Bamako coura, Wallirde, village can"/>
  </r>
  <r>
    <d v="2012-05-19T00:00:00"/>
    <d v="2012-05-19T00:00:00"/>
    <s v="CRS"/>
    <s v="USAID"/>
    <s v="CRS"/>
    <x v="4"/>
    <n v="6"/>
    <s v=" Cercle de MOPTI"/>
    <n v="611"/>
    <s v=" COM. DE MOPTI                   "/>
    <n v="37"/>
    <n v="285"/>
    <s v="NFI"/>
    <m/>
    <s v="PDI"/>
    <m/>
    <m/>
    <m/>
    <m/>
    <m/>
    <n v="111"/>
    <n v="111"/>
    <m/>
    <n v="37"/>
    <m/>
    <m/>
    <n v="111"/>
    <m/>
    <s v="Hotel Chauffeur"/>
  </r>
  <r>
    <d v="2012-05-31T00:00:00"/>
    <d v="2012-05-31T00:00:00"/>
    <s v="CRS"/>
    <s v="USAID"/>
    <s v="CRS"/>
    <x v="4"/>
    <n v="6"/>
    <s v=" Cercle de MOPTI"/>
    <n v="611"/>
    <s v=" COM. DE MOPTI                   "/>
    <m/>
    <n v="863"/>
    <s v="NFI"/>
    <m/>
    <s v="PDI"/>
    <m/>
    <m/>
    <m/>
    <m/>
    <m/>
    <n v="0"/>
    <n v="300"/>
    <m/>
    <m/>
    <m/>
    <m/>
    <m/>
    <m/>
    <s v="Soufourlaye/DRS"/>
  </r>
  <r>
    <d v="2012-06-06T00:00:00"/>
    <d v="2012-06-06T00:00:00"/>
    <s v="CRS"/>
    <s v="USAID"/>
    <s v="CRS"/>
    <x v="4"/>
    <n v="6"/>
    <s v=" Cercle de MOPTI"/>
    <n v="611"/>
    <s v=" COM. DE MOPTI                   "/>
    <n v="35"/>
    <n v="510"/>
    <s v="NFI"/>
    <m/>
    <s v="PDI"/>
    <m/>
    <m/>
    <m/>
    <m/>
    <m/>
    <n v="105"/>
    <n v="105"/>
    <m/>
    <n v="35"/>
    <m/>
    <m/>
    <n v="105"/>
    <m/>
    <s v="Village can, Bamako Coura"/>
  </r>
  <r>
    <d v="2012-07-05T00:00:00"/>
    <d v="2012-07-05T00:00:00"/>
    <s v="CRS"/>
    <s v="USAID"/>
    <s v="CRS"/>
    <x v="4"/>
    <n v="6"/>
    <s v=" Cercle de MOPTI"/>
    <n v="611"/>
    <s v=" COM. DE MOPTI                   "/>
    <m/>
    <n v="949"/>
    <s v="NFI"/>
    <m/>
    <s v="PDI"/>
    <m/>
    <m/>
    <m/>
    <m/>
    <m/>
    <n v="90"/>
    <n v="600"/>
    <m/>
    <m/>
    <m/>
    <m/>
    <m/>
    <m/>
    <s v="Eleves deplaces DEF AE Mopti Douentza"/>
  </r>
  <r>
    <d v="2012-08-01T00:00:00"/>
    <d v="2012-08-01T00:00:00"/>
    <s v="CRS"/>
    <s v="USAID"/>
    <s v="CRS"/>
    <x v="4"/>
    <n v="6"/>
    <s v=" Cercle de MOPTI"/>
    <n v="611"/>
    <s v=" COM. DE MOPTI                   "/>
    <n v="16"/>
    <n v="668"/>
    <s v="NFI"/>
    <m/>
    <s v="PDI"/>
    <m/>
    <m/>
    <m/>
    <m/>
    <m/>
    <n v="48"/>
    <n v="48"/>
    <m/>
    <n v="16"/>
    <m/>
    <m/>
    <n v="48"/>
    <m/>
    <s v="H chauffeur-HCI"/>
  </r>
  <r>
    <d v="2012-08-17T00:00:00"/>
    <d v="2012-08-17T00:00:00"/>
    <s v="CRS"/>
    <s v="USAID"/>
    <s v="CRS"/>
    <x v="4"/>
    <n v="6"/>
    <s v=" Cercle de MOPTI"/>
    <n v="611"/>
    <s v=" COM. DE MOPTI                   "/>
    <n v="50"/>
    <m/>
    <s v="NFI"/>
    <m/>
    <s v="PDI"/>
    <m/>
    <m/>
    <m/>
    <m/>
    <m/>
    <n v="90"/>
    <n v="1200"/>
    <m/>
    <m/>
    <m/>
    <m/>
    <n v="150"/>
    <m/>
    <s v="Appui Eleves Deplacés cours de Rattrapage"/>
  </r>
  <r>
    <d v="2012-08-29T00:00:00"/>
    <d v="2012-08-29T00:00:00"/>
    <s v="CRS"/>
    <s v="USAID"/>
    <s v="CRS"/>
    <x v="4"/>
    <n v="6"/>
    <s v=" Cercle de MOPTI"/>
    <n v="611"/>
    <s v=" COM. DE MOPTI                   "/>
    <n v="98"/>
    <n v="1076"/>
    <s v="NFI"/>
    <m/>
    <s v="PDI"/>
    <m/>
    <m/>
    <m/>
    <m/>
    <m/>
    <m/>
    <n v="294"/>
    <m/>
    <m/>
    <m/>
    <m/>
    <n v="294"/>
    <m/>
    <s v="Bamako coura-banguitaba-HCI-Village Innonde Mussawel"/>
  </r>
  <r>
    <d v="2012-09-28T00:00:00"/>
    <d v="2012-09-28T00:00:00"/>
    <s v="CRS"/>
    <s v="USAID"/>
    <s v="CRS"/>
    <x v="4"/>
    <n v="6"/>
    <s v=" Cercle de MOPTI"/>
    <n v="611"/>
    <s v=" COM. DE MOPTI                   "/>
    <n v="32"/>
    <n v="818"/>
    <s v="NFI"/>
    <m/>
    <s v="PDI"/>
    <m/>
    <m/>
    <m/>
    <m/>
    <m/>
    <n v="96"/>
    <n v="96"/>
    <m/>
    <n v="32"/>
    <m/>
    <m/>
    <n v="96"/>
    <m/>
    <s v="Mopti HCI"/>
  </r>
  <r>
    <d v="2012-09-29T00:00:00"/>
    <d v="2012-09-29T00:00:00"/>
    <s v="CRS"/>
    <s v="USAID"/>
    <s v="CRS"/>
    <x v="4"/>
    <n v="6"/>
    <s v=" Cercle de MOPTI"/>
    <n v="611"/>
    <s v=" COM. DE MOPTI                   "/>
    <n v="62"/>
    <n v="1783"/>
    <s v="NFI"/>
    <m/>
    <s v="PDI"/>
    <m/>
    <m/>
    <m/>
    <m/>
    <m/>
    <n v="186"/>
    <n v="186"/>
    <m/>
    <n v="62"/>
    <m/>
    <m/>
    <n v="186"/>
    <m/>
    <s v="Banguitaba"/>
  </r>
  <r>
    <d v="2012-04-14T00:00:00"/>
    <d v="2012-04-14T00:00:00"/>
    <s v="DGPC"/>
    <s v="DGPC"/>
    <s v="DGPC"/>
    <x v="4"/>
    <n v="6"/>
    <s v=" Cercle de MOPTI"/>
    <n v="611"/>
    <s v=" COM. DE MOPTI                   "/>
    <n v="7"/>
    <n v="42"/>
    <s v="NFI"/>
    <m/>
    <s v="PDI"/>
    <n v="7"/>
    <m/>
    <m/>
    <m/>
    <m/>
    <m/>
    <m/>
    <m/>
    <m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05-01T00:00:00"/>
    <d v="2012-05-01T00:00:00"/>
    <s v="DGPC"/>
    <s v="Plan Mali"/>
    <s v="DGPC"/>
    <x v="4"/>
    <n v="6"/>
    <s v=" Cercle de MOPTI"/>
    <n v="611"/>
    <s v=" COM. DE MOPTI                   "/>
    <n v="10"/>
    <n v="60"/>
    <s v="NFI"/>
    <m/>
    <s v="PDI"/>
    <n v="10"/>
    <n v="50"/>
    <m/>
    <m/>
    <m/>
    <n v="50"/>
    <m/>
    <m/>
    <m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06-08T00:00:00"/>
    <d v="2012-06-08T00:00:00"/>
    <s v="DGPC"/>
    <s v="UNICEF"/>
    <s v="DGPC"/>
    <x v="4"/>
    <n v="6"/>
    <s v=" Cercle de MOPTI"/>
    <n v="611"/>
    <s v=" COM. DE SEVARE"/>
    <n v="80"/>
    <n v="480"/>
    <s v="NFI"/>
    <m/>
    <s v="PDI"/>
    <m/>
    <m/>
    <m/>
    <m/>
    <n v="80"/>
    <n v="160"/>
    <n v="160"/>
    <m/>
    <n v="8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06-16T00:00:00"/>
    <d v="2012-06-16T00:00:00"/>
    <s v="DGPC"/>
    <s v="UNICEF"/>
    <s v="DGPC"/>
    <x v="4"/>
    <n v="6"/>
    <s v=" Cercle de MOPTI"/>
    <n v="611"/>
    <s v=" COM. DE MOPTI                   "/>
    <n v="40"/>
    <n v="240"/>
    <s v="NFI"/>
    <m/>
    <s v="PDI"/>
    <m/>
    <m/>
    <m/>
    <m/>
    <m/>
    <n v="80"/>
    <n v="80"/>
    <m/>
    <n v="8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09-26T00:00:00"/>
    <d v="2012-09-26T00:00:00"/>
    <s v="DGPC"/>
    <s v="UNICEF"/>
    <s v="DGPC"/>
    <x v="7"/>
    <n v="4"/>
    <s v=" Cercle de KOUTIALA"/>
    <n v="415"/>
    <s v=" COM. DE SOROBASSO               "/>
    <n v="82"/>
    <n v="492"/>
    <s v="NFI"/>
    <m/>
    <s v="PDI"/>
    <m/>
    <m/>
    <m/>
    <m/>
    <n v="280"/>
    <n v="560"/>
    <n v="560"/>
    <m/>
    <n v="28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09-26T00:00:00"/>
    <d v="2012-09-26T00:00:00"/>
    <s v="DGPC"/>
    <s v="UNICEF"/>
    <s v="DGPC"/>
    <x v="7"/>
    <n v="4"/>
    <s v=" Cercle de KOUTIALA"/>
    <n v="415"/>
    <s v=" COM. DE ZANFIGUE                "/>
    <n v="44"/>
    <n v="264"/>
    <s v="NFI"/>
    <m/>
    <s v="PDI"/>
    <m/>
    <m/>
    <m/>
    <m/>
    <n v="40"/>
    <n v="80"/>
    <n v="80"/>
    <m/>
    <n v="4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09-27T00:00:00"/>
    <d v="2012-09-27T00:00:00"/>
    <s v="DGPC"/>
    <s v="UNICEF"/>
    <s v="DGPC"/>
    <x v="8"/>
    <n v="2"/>
    <s v=" Cercle de KAYES"/>
    <n v="211"/>
    <s v=" COM. DE SOUMPOU   "/>
    <n v="45"/>
    <n v="270"/>
    <s v="NFI"/>
    <m/>
    <s v="PDI"/>
    <m/>
    <m/>
    <m/>
    <m/>
    <n v="80"/>
    <n v="160"/>
    <n v="160"/>
    <m/>
    <n v="8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09-27T00:00:00"/>
    <d v="2012-09-27T00:00:00"/>
    <s v="DGPC"/>
    <s v="UNICEF"/>
    <s v="DGPC"/>
    <x v="1"/>
    <n v="3"/>
    <s v=" Cercle de KATI"/>
    <n v="315"/>
    <s v=" COM. DE OUELESSEBOUGOU          "/>
    <n v="4"/>
    <n v="24"/>
    <s v="NFI"/>
    <m/>
    <s v="PDI"/>
    <m/>
    <m/>
    <m/>
    <m/>
    <n v="80"/>
    <n v="160"/>
    <n v="160"/>
    <m/>
    <n v="8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09-28T00:00:00"/>
    <d v="2012-09-28T00:00:00"/>
    <s v="DGPC"/>
    <s v="UNICEF"/>
    <s v="DGPC"/>
    <x v="8"/>
    <n v="2"/>
    <s v=" Cercle de DIEMA"/>
    <n v="213"/>
    <s v=" COM. DE DIEMA                   "/>
    <n v="21"/>
    <n v="126"/>
    <s v="NFI"/>
    <m/>
    <s v="PDI"/>
    <m/>
    <m/>
    <m/>
    <m/>
    <n v="160"/>
    <n v="360"/>
    <n v="320"/>
    <m/>
    <n v="16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10-01T00:00:00"/>
    <d v="2012-10-01T00:00:00"/>
    <s v="DGPC"/>
    <s v="UNICEF"/>
    <s v="DGPC"/>
    <x v="0"/>
    <n v="1"/>
    <s v=" District de Bamako"/>
    <n v="111"/>
    <m/>
    <n v="50"/>
    <n v="300"/>
    <s v="NFI"/>
    <m/>
    <s v="PDI"/>
    <m/>
    <m/>
    <m/>
    <m/>
    <n v="50"/>
    <n v="100"/>
    <n v="100"/>
    <m/>
    <n v="5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10-01T00:00:00"/>
    <d v="2012-10-01T00:00:00"/>
    <s v="DGPC"/>
    <s v="UNICEF"/>
    <s v="DGPC"/>
    <x v="0"/>
    <n v="1"/>
    <s v=" District de Bamako"/>
    <n v="111"/>
    <m/>
    <n v="212"/>
    <n v="1272"/>
    <s v="NFI"/>
    <m/>
    <s v="PDI"/>
    <m/>
    <m/>
    <m/>
    <m/>
    <n v="212"/>
    <n v="424"/>
    <n v="424"/>
    <m/>
    <n v="212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10-06T00:00:00"/>
    <d v="2012-10-06T00:00:00"/>
    <s v="DGPC"/>
    <s v="UNICEF"/>
    <s v="DGPC"/>
    <x v="0"/>
    <n v="1"/>
    <s v=" District de Bamako"/>
    <n v="111"/>
    <m/>
    <n v="8"/>
    <n v="48"/>
    <s v="NFI"/>
    <m/>
    <s v="PDI"/>
    <m/>
    <m/>
    <m/>
    <m/>
    <m/>
    <n v="17"/>
    <n v="17"/>
    <m/>
    <n v="17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10-07T00:00:00"/>
    <d v="2012-10-07T00:00:00"/>
    <s v="DGPC"/>
    <s v="UNICEF"/>
    <s v="DGPC"/>
    <x v="1"/>
    <n v="3"/>
    <s v=" Cercle de KOULIKORO"/>
    <n v="311"/>
    <s v=" COM. DE KOULIKORO               "/>
    <n v="2"/>
    <n v="12"/>
    <s v="NFI"/>
    <m/>
    <s v="PDI"/>
    <m/>
    <m/>
    <m/>
    <m/>
    <m/>
    <n v="4"/>
    <n v="4"/>
    <m/>
    <n v="4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10-09T00:00:00"/>
    <d v="2012-10-09T00:00:00"/>
    <s v="DGPC"/>
    <s v="UNICEF"/>
    <s v="DGPC"/>
    <x v="4"/>
    <n v="6"/>
    <s v=" Cercle de MOPTI"/>
    <n v="611"/>
    <s v=" COM. DE MOPTI                   "/>
    <n v="45"/>
    <n v="270"/>
    <s v="NFI"/>
    <m/>
    <s v="PDI"/>
    <m/>
    <m/>
    <m/>
    <m/>
    <m/>
    <n v="89"/>
    <n v="89"/>
    <m/>
    <n v="89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10-11T00:00:00"/>
    <d v="2012-10-11T00:00:00"/>
    <s v="DGPC"/>
    <s v="UNICEF"/>
    <s v="DGPC"/>
    <x v="7"/>
    <n v="4"/>
    <s v=" Cercle de SIKASSO    "/>
    <n v="411"/>
    <s v=" COM. DE SIKASSO                 "/>
    <n v="33"/>
    <n v="198"/>
    <s v="NFI"/>
    <m/>
    <s v="PDI"/>
    <m/>
    <m/>
    <m/>
    <m/>
    <m/>
    <n v="66"/>
    <n v="66"/>
    <m/>
    <n v="66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10-12T00:00:00"/>
    <d v="2012-10-12T00:00:00"/>
    <s v="DGPC"/>
    <s v="UNICEF"/>
    <s v="DGPC"/>
    <x v="8"/>
    <n v="2"/>
    <s v=" Cercle de KAYES"/>
    <n v="211"/>
    <s v=" COM. DE KAYES                   "/>
    <n v="33"/>
    <n v="198"/>
    <s v="NFI"/>
    <m/>
    <s v="PDI"/>
    <m/>
    <m/>
    <m/>
    <m/>
    <m/>
    <n v="66"/>
    <n v="66"/>
    <m/>
    <n v="66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12-08T00:00:00"/>
    <d v="2012-12-08T00:00:00"/>
    <s v="DGPC"/>
    <s v="UNICEF"/>
    <s v="DGPC"/>
    <x v="2"/>
    <n v="5"/>
    <s v=" Cercle de SEGOU"/>
    <n v="511"/>
    <s v=" COM. DE SEGOU                   "/>
    <n v="255"/>
    <n v="1530"/>
    <s v="NFI"/>
    <m/>
    <s v="PDI"/>
    <m/>
    <m/>
    <m/>
    <m/>
    <m/>
    <n v="510"/>
    <n v="510"/>
    <m/>
    <n v="51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3-01-02T00:00:00"/>
    <d v="2013-01-04T00:00:00"/>
    <s v="IOM"/>
    <s v="IOM"/>
    <s v="IOM"/>
    <x v="0"/>
    <n v="1"/>
    <s v=" District de Bamako"/>
    <n v="111"/>
    <s v="Commune 3 et 4 "/>
    <n v="359"/>
    <n v="2154"/>
    <s v="NFI"/>
    <m/>
    <s v="PDI"/>
    <m/>
    <m/>
    <m/>
    <m/>
    <m/>
    <n v="718"/>
    <n v="718"/>
    <m/>
    <n v="718"/>
    <n v="718"/>
    <n v="718"/>
    <n v="718"/>
    <m/>
    <s v="KIT CUISINE:  Marmites 7kgs, Tasses Inox, 3 Gobelets métaliques, 3 Cuillères métaliques,Louches métaliques, 20 Savons de ménage, Bouilloires, 90 PUR "/>
  </r>
  <r>
    <d v="2012-11-02T00:00:00"/>
    <d v="2012-11-02T00:00:00"/>
    <s v="IRC"/>
    <s v="UNICEF"/>
    <s v="IRC"/>
    <x v="6"/>
    <n v="8"/>
    <s v=" Cercle de ANSONGO"/>
    <n v="812"/>
    <s v=" COM. DE ANSONGO                 "/>
    <n v="1000"/>
    <n v="6000"/>
    <s v="NFI"/>
    <m/>
    <s v="PDI"/>
    <m/>
    <m/>
    <m/>
    <m/>
    <n v="200"/>
    <n v="400"/>
    <n v="400"/>
    <m/>
    <n v="20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04-19T00:00:00"/>
    <d v="2012-04-19T00:00:00"/>
    <s v="Médecin du Monde Belgique"/>
    <s v="UNICEF"/>
    <s v="Médecin du Monde Belgique"/>
    <x v="6"/>
    <n v="8"/>
    <s v=" Cercle de BOUREM"/>
    <n v="813"/>
    <s v=" COM. DE BOUREM                  "/>
    <n v="100"/>
    <n v="600"/>
    <s v="NFI"/>
    <m/>
    <s v="PDI"/>
    <m/>
    <m/>
    <m/>
    <m/>
    <n v="200"/>
    <n v="400"/>
    <n v="400"/>
    <m/>
    <n v="20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07-06T00:00:00"/>
    <d v="2012-07-06T00:00:00"/>
    <s v="Médecin du Monde Belgique"/>
    <s v="UNICEF"/>
    <s v="Médecin du Monde Belgique"/>
    <x v="6"/>
    <n v="8"/>
    <s v=" Cercle de MENAKA"/>
    <n v="814"/>
    <s v=" COM. DE MENAKA                  "/>
    <n v="200"/>
    <n v="1200"/>
    <s v="NFI"/>
    <m/>
    <s v="PDI"/>
    <m/>
    <m/>
    <m/>
    <m/>
    <n v="100"/>
    <n v="200"/>
    <n v="200"/>
    <m/>
    <n v="10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04-11T00:00:00"/>
    <d v="2012-04-11T00:00:00"/>
    <s v="Médecin du Monde France"/>
    <s v="UNICEF"/>
    <s v="Médecin du Monde France"/>
    <x v="5"/>
    <n v="9"/>
    <s v=" Cercle de ABEIBARA"/>
    <n v="912"/>
    <s v=" COM. DE  TINZAWATENE            "/>
    <n v="300"/>
    <n v="1800"/>
    <s v="NFI"/>
    <m/>
    <s v="PDI"/>
    <m/>
    <m/>
    <m/>
    <m/>
    <n v="400"/>
    <n v="800"/>
    <n v="800"/>
    <m/>
    <n v="40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04-11T00:00:00"/>
    <d v="2012-04-11T00:00:00"/>
    <s v="Médecin du Monde France"/>
    <s v="UNICEF"/>
    <s v="Médecin du Monde France"/>
    <x v="3"/>
    <n v="7"/>
    <s v=" Cercle de TOMBOUCTOU"/>
    <n v="711"/>
    <s v=" COM. DE TOMBOUCTOU              "/>
    <n v="200"/>
    <n v="1200"/>
    <s v="NFI"/>
    <m/>
    <s v="PDI"/>
    <m/>
    <m/>
    <m/>
    <m/>
    <n v="200"/>
    <n v="400"/>
    <n v="400"/>
    <m/>
    <n v="20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d v="2012-04-11T00:00:00"/>
    <d v="2012-04-11T00:00:00"/>
    <s v="Médecin du Monde France"/>
    <s v="UNICEF"/>
    <s v="Médecin du Monde France"/>
    <x v="3"/>
    <n v="7"/>
    <s v=" Cercle de TOMBOUCTOU"/>
    <n v="711"/>
    <s v=" COM. DE TOMBOUCTOU              "/>
    <n v="200"/>
    <n v="1200"/>
    <s v="NFI"/>
    <m/>
    <s v="PDI"/>
    <m/>
    <m/>
    <m/>
    <m/>
    <n v="200"/>
    <n v="400"/>
    <n v="400"/>
    <m/>
    <n v="200"/>
    <m/>
    <m/>
    <m/>
    <m/>
    <s v="POUR UN MENAGE PENDANT 6 MOIS (6 personnes par famille) Composition du kit de cuisine: 2 Bidons 10 litres; 1 Marmite 7 kilos; 1 Tasse moyenne Inox; 3 Gobelets métalliques de 0.37 litre; 3 Cuillères métalliques; 1 Louche moyenne métallique; 1 Bouilloire plastique; 20 savons de ménage; 45 Aquatabs 67mg (plaquette de 10 comprimés)"/>
  </r>
  <r>
    <s v="Du 5 /11/2012"/>
    <d v="2012-11-30T00:00:00"/>
    <s v="UNHCR"/>
    <s v="UNHCR"/>
    <s v="Intersos"/>
    <x v="4"/>
    <n v="6"/>
    <s v=" Cercle de MOPTI"/>
    <n v="611"/>
    <s v=" COM. DE SOCOURA                 "/>
    <n v="2500"/>
    <n v="15000"/>
    <s v="NFI"/>
    <m/>
    <s v="PDI"/>
    <m/>
    <m/>
    <m/>
    <n v="2"/>
    <n v="10"/>
    <n v="3100"/>
    <n v="3100"/>
    <m/>
    <n v="383"/>
    <n v="600"/>
    <n v="2856"/>
    <n v="4500"/>
    <m/>
    <s v="Composition de menages: 6,5 perspnnes. Composition du kit de cuisine: 2 marmites,4 cuilleres a soupe, 1 couteau, 1 louche, 2 tasses,  "/>
  </r>
  <r>
    <s v="Du 01/12 /2012"/>
    <d v="2012-12-31T00:00:00"/>
    <s v="UNHCR"/>
    <s v="UNHCR"/>
    <s v="Intersos"/>
    <x v="4"/>
    <n v="6"/>
    <s v=" Cercle de MOPTI"/>
    <n v="611"/>
    <s v=" COM. DE SOCOURA                 "/>
    <n v="1864"/>
    <n v="11184"/>
    <s v="NFI"/>
    <m/>
    <s v="PDI"/>
    <m/>
    <m/>
    <m/>
    <m/>
    <n v="1665"/>
    <n v="5440"/>
    <n v="2625"/>
    <m/>
    <n v="326"/>
    <n v="3800"/>
    <m/>
    <n v="1200"/>
    <m/>
    <s v="Composition de menages: 6,5 perspnnes. Composition du kit de cuisine: 2 marmites,4 cuilleres a soupe, 1 couteau, 1 louche, 2 tasses,  3 bidons de 10 litres"/>
  </r>
  <r>
    <s v=" 30/01/2013"/>
    <s v=" 30/01/2013"/>
    <s v="UNHCR"/>
    <s v="UNHCR"/>
    <s v="Intersos"/>
    <x v="4"/>
    <n v="6"/>
    <s v=" Cercle de MOPTI"/>
    <n v="611"/>
    <s v=" COM. DE SOCOURA                 "/>
    <n v="34"/>
    <n v="221"/>
    <s v="NFI"/>
    <m/>
    <s v="PDI"/>
    <m/>
    <m/>
    <m/>
    <m/>
    <n v="34"/>
    <n v="68"/>
    <n v="68"/>
    <m/>
    <n v="34"/>
    <n v="34"/>
    <n v="68"/>
    <n v="68"/>
    <m/>
    <s v="Composition de menages: 6,5 perspnnes. Composition du kit de cuisine: 2 marmites,3 cuilleres a soupe, 1 couteau, 1 louche,  1 bidon de 10 litres"/>
  </r>
  <r>
    <d v="2012-08-01T00:00:00"/>
    <d v="2013-08-15T00:00:00"/>
    <s v="USAID"/>
    <s v="Cooperation néelandaise"/>
    <s v="USAID"/>
    <x v="4"/>
    <n v="6"/>
    <s v=" Cercle de MOPTI"/>
    <n v="611"/>
    <s v=" COM. DE FATOMA                  "/>
    <n v="192"/>
    <n v="1536"/>
    <s v="NFI"/>
    <m/>
    <s v="PDI"/>
    <m/>
    <m/>
    <m/>
    <m/>
    <m/>
    <n v="384"/>
    <n v="384"/>
    <m/>
    <n v="192"/>
    <m/>
    <m/>
    <m/>
    <m/>
    <s v="192 morceaux savon+192L eau de javel+192L Grézil"/>
  </r>
  <r>
    <m/>
    <m/>
    <m/>
    <m/>
    <m/>
    <x v="9"/>
    <e v="#N/A"/>
    <m/>
    <e v="#N/A"/>
    <m/>
    <m/>
    <m/>
    <m/>
    <m/>
    <m/>
    <m/>
    <m/>
    <m/>
    <m/>
    <m/>
    <m/>
    <m/>
    <m/>
    <m/>
    <m/>
    <m/>
    <m/>
    <m/>
    <m/>
  </r>
  <r>
    <m/>
    <m/>
    <m/>
    <m/>
    <m/>
    <x v="9"/>
    <e v="#N/A"/>
    <m/>
    <e v="#N/A"/>
    <m/>
    <m/>
    <m/>
    <m/>
    <m/>
    <m/>
    <m/>
    <m/>
    <m/>
    <m/>
    <m/>
    <m/>
    <m/>
    <m/>
    <m/>
    <m/>
    <m/>
    <m/>
    <m/>
    <m/>
  </r>
  <r>
    <m/>
    <m/>
    <m/>
    <m/>
    <m/>
    <x v="9"/>
    <e v="#N/A"/>
    <m/>
    <e v="#N/A"/>
    <m/>
    <m/>
    <m/>
    <m/>
    <m/>
    <m/>
    <m/>
    <m/>
    <m/>
    <m/>
    <m/>
    <m/>
    <m/>
    <m/>
    <m/>
    <m/>
    <m/>
    <m/>
    <m/>
    <m/>
  </r>
  <r>
    <m/>
    <m/>
    <m/>
    <m/>
    <m/>
    <x v="9"/>
    <e v="#N/A"/>
    <m/>
    <e v="#N/A"/>
    <m/>
    <m/>
    <m/>
    <m/>
    <m/>
    <m/>
    <m/>
    <m/>
    <m/>
    <m/>
    <m/>
    <m/>
    <m/>
    <m/>
    <m/>
    <m/>
    <m/>
    <m/>
    <m/>
    <m/>
  </r>
  <r>
    <m/>
    <m/>
    <m/>
    <m/>
    <m/>
    <x v="9"/>
    <e v="#N/A"/>
    <m/>
    <e v="#N/A"/>
    <m/>
    <m/>
    <m/>
    <m/>
    <m/>
    <m/>
    <m/>
    <m/>
    <m/>
    <m/>
    <m/>
    <m/>
    <m/>
    <m/>
    <m/>
    <m/>
    <m/>
    <m/>
    <m/>
    <m/>
  </r>
  <r>
    <m/>
    <m/>
    <m/>
    <m/>
    <m/>
    <x v="9"/>
    <e v="#N/A"/>
    <m/>
    <e v="#N/A"/>
    <m/>
    <m/>
    <m/>
    <m/>
    <m/>
    <m/>
    <m/>
    <m/>
    <m/>
    <m/>
    <m/>
    <m/>
    <m/>
    <m/>
    <m/>
    <m/>
    <m/>
    <m/>
    <m/>
    <m/>
  </r>
  <r>
    <m/>
    <m/>
    <m/>
    <m/>
    <m/>
    <x v="9"/>
    <e v="#N/A"/>
    <m/>
    <e v="#N/A"/>
    <m/>
    <m/>
    <m/>
    <m/>
    <m/>
    <m/>
    <m/>
    <m/>
    <m/>
    <m/>
    <m/>
    <m/>
    <m/>
    <m/>
    <m/>
    <m/>
    <m/>
    <m/>
    <m/>
    <m/>
  </r>
  <r>
    <m/>
    <m/>
    <m/>
    <m/>
    <m/>
    <x v="9"/>
    <e v="#N/A"/>
    <m/>
    <e v="#N/A"/>
    <m/>
    <m/>
    <m/>
    <m/>
    <m/>
    <m/>
    <m/>
    <m/>
    <m/>
    <m/>
    <m/>
    <m/>
    <m/>
    <m/>
    <m/>
    <m/>
    <m/>
    <m/>
    <m/>
    <m/>
  </r>
  <r>
    <m/>
    <m/>
    <m/>
    <m/>
    <m/>
    <x v="9"/>
    <e v="#N/A"/>
    <m/>
    <e v="#N/A"/>
    <m/>
    <m/>
    <m/>
    <m/>
    <m/>
    <m/>
    <m/>
    <m/>
    <m/>
    <m/>
    <m/>
    <m/>
    <m/>
    <m/>
    <m/>
    <m/>
    <m/>
    <m/>
    <m/>
    <m/>
  </r>
  <r>
    <m/>
    <m/>
    <m/>
    <m/>
    <m/>
    <x v="9"/>
    <e v="#N/A"/>
    <m/>
    <e v="#N/A"/>
    <m/>
    <m/>
    <m/>
    <m/>
    <m/>
    <m/>
    <m/>
    <m/>
    <m/>
    <m/>
    <m/>
    <m/>
    <m/>
    <m/>
    <m/>
    <m/>
    <m/>
    <m/>
    <m/>
    <m/>
  </r>
  <r>
    <m/>
    <m/>
    <m/>
    <m/>
    <m/>
    <x v="9"/>
    <e v="#N/A"/>
    <m/>
    <e v="#N/A"/>
    <m/>
    <m/>
    <m/>
    <m/>
    <m/>
    <m/>
    <m/>
    <m/>
    <m/>
    <m/>
    <m/>
    <m/>
    <m/>
    <m/>
    <m/>
    <m/>
    <m/>
    <m/>
    <m/>
    <m/>
  </r>
  <r>
    <m/>
    <m/>
    <m/>
    <m/>
    <m/>
    <x v="9"/>
    <e v="#N/A"/>
    <m/>
    <e v="#N/A"/>
    <m/>
    <m/>
    <m/>
    <m/>
    <m/>
    <m/>
    <m/>
    <m/>
    <m/>
    <m/>
    <m/>
    <m/>
    <m/>
    <m/>
    <m/>
    <m/>
    <m/>
    <m/>
    <m/>
    <m/>
  </r>
  <r>
    <m/>
    <m/>
    <m/>
    <m/>
    <m/>
    <x v="9"/>
    <e v="#N/A"/>
    <m/>
    <e v="#N/A"/>
    <m/>
    <m/>
    <m/>
    <m/>
    <m/>
    <m/>
    <m/>
    <m/>
    <m/>
    <m/>
    <m/>
    <m/>
    <m/>
    <m/>
    <m/>
    <m/>
    <m/>
    <m/>
    <m/>
    <m/>
  </r>
  <r>
    <m/>
    <m/>
    <m/>
    <m/>
    <m/>
    <x v="9"/>
    <e v="#N/A"/>
    <m/>
    <e v="#N/A"/>
    <m/>
    <m/>
    <m/>
    <m/>
    <m/>
    <m/>
    <m/>
    <m/>
    <m/>
    <m/>
    <m/>
    <m/>
    <m/>
    <m/>
    <m/>
    <m/>
    <m/>
    <m/>
    <m/>
    <m/>
  </r>
  <r>
    <m/>
    <m/>
    <m/>
    <m/>
    <m/>
    <x v="9"/>
    <e v="#N/A"/>
    <m/>
    <e v="#N/A"/>
    <m/>
    <m/>
    <m/>
    <m/>
    <m/>
    <m/>
    <m/>
    <m/>
    <m/>
    <m/>
    <m/>
    <m/>
    <m/>
    <m/>
    <m/>
    <m/>
    <m/>
    <m/>
    <m/>
    <m/>
  </r>
  <r>
    <m/>
    <m/>
    <m/>
    <m/>
    <m/>
    <x v="9"/>
    <e v="#N/A"/>
    <m/>
    <e v="#N/A"/>
    <m/>
    <m/>
    <m/>
    <m/>
    <m/>
    <m/>
    <m/>
    <m/>
    <m/>
    <m/>
    <m/>
    <m/>
    <m/>
    <m/>
    <m/>
    <m/>
    <m/>
    <m/>
    <m/>
    <m/>
  </r>
  <r>
    <m/>
    <m/>
    <m/>
    <m/>
    <m/>
    <x v="9"/>
    <e v="#N/A"/>
    <m/>
    <e v="#N/A"/>
    <m/>
    <m/>
    <m/>
    <m/>
    <m/>
    <m/>
    <m/>
    <m/>
    <m/>
    <m/>
    <m/>
    <m/>
    <m/>
    <m/>
    <m/>
    <m/>
    <m/>
    <m/>
    <m/>
    <m/>
  </r>
  <r>
    <m/>
    <m/>
    <m/>
    <m/>
    <m/>
    <x v="9"/>
    <e v="#N/A"/>
    <m/>
    <e v="#N/A"/>
    <m/>
    <m/>
    <m/>
    <m/>
    <m/>
    <m/>
    <m/>
    <m/>
    <m/>
    <m/>
    <m/>
    <m/>
    <m/>
    <m/>
    <m/>
    <m/>
    <m/>
    <m/>
    <m/>
    <m/>
  </r>
  <r>
    <m/>
    <m/>
    <m/>
    <m/>
    <m/>
    <x v="9"/>
    <e v="#N/A"/>
    <m/>
    <e v="#N/A"/>
    <m/>
    <m/>
    <m/>
    <m/>
    <m/>
    <m/>
    <m/>
    <m/>
    <m/>
    <m/>
    <m/>
    <m/>
    <m/>
    <m/>
    <m/>
    <m/>
    <m/>
    <m/>
    <m/>
    <m/>
  </r>
  <r>
    <m/>
    <m/>
    <m/>
    <m/>
    <m/>
    <x v="9"/>
    <e v="#N/A"/>
    <m/>
    <e v="#N/A"/>
    <m/>
    <m/>
    <m/>
    <m/>
    <m/>
    <m/>
    <m/>
    <m/>
    <m/>
    <m/>
    <m/>
    <m/>
    <m/>
    <m/>
    <m/>
    <m/>
    <m/>
    <m/>
    <m/>
    <m/>
  </r>
  <r>
    <m/>
    <m/>
    <m/>
    <m/>
    <m/>
    <x v="9"/>
    <e v="#N/A"/>
    <m/>
    <e v="#N/A"/>
    <m/>
    <m/>
    <m/>
    <m/>
    <m/>
    <m/>
    <m/>
    <m/>
    <m/>
    <m/>
    <m/>
    <m/>
    <m/>
    <m/>
    <m/>
    <m/>
    <m/>
    <m/>
    <m/>
    <m/>
  </r>
  <r>
    <m/>
    <m/>
    <m/>
    <m/>
    <m/>
    <x v="9"/>
    <e v="#N/A"/>
    <m/>
    <e v="#N/A"/>
    <m/>
    <m/>
    <m/>
    <m/>
    <m/>
    <m/>
    <m/>
    <m/>
    <m/>
    <m/>
    <m/>
    <m/>
    <m/>
    <m/>
    <m/>
    <m/>
    <m/>
    <m/>
    <m/>
    <m/>
  </r>
  <r>
    <m/>
    <m/>
    <m/>
    <m/>
    <m/>
    <x v="9"/>
    <e v="#N/A"/>
    <m/>
    <e v="#N/A"/>
    <m/>
    <m/>
    <m/>
    <m/>
    <m/>
    <m/>
    <m/>
    <m/>
    <m/>
    <m/>
    <m/>
    <m/>
    <m/>
    <m/>
    <m/>
    <m/>
    <m/>
    <m/>
    <m/>
    <m/>
  </r>
  <r>
    <m/>
    <m/>
    <m/>
    <m/>
    <m/>
    <x v="9"/>
    <e v="#N/A"/>
    <m/>
    <e v="#N/A"/>
    <m/>
    <m/>
    <m/>
    <m/>
    <m/>
    <m/>
    <m/>
    <m/>
    <m/>
    <m/>
    <m/>
    <m/>
    <m/>
    <m/>
    <m/>
    <m/>
    <m/>
    <m/>
    <m/>
    <m/>
  </r>
  <r>
    <m/>
    <m/>
    <m/>
    <m/>
    <m/>
    <x v="9"/>
    <e v="#N/A"/>
    <m/>
    <e v="#N/A"/>
    <m/>
    <m/>
    <m/>
    <m/>
    <m/>
    <m/>
    <m/>
    <m/>
    <m/>
    <m/>
    <m/>
    <m/>
    <m/>
    <m/>
    <m/>
    <m/>
    <m/>
    <m/>
    <m/>
    <m/>
  </r>
  <r>
    <m/>
    <m/>
    <m/>
    <m/>
    <m/>
    <x v="9"/>
    <e v="#N/A"/>
    <m/>
    <e v="#N/A"/>
    <m/>
    <m/>
    <m/>
    <m/>
    <m/>
    <m/>
    <m/>
    <m/>
    <m/>
    <m/>
    <m/>
    <m/>
    <m/>
    <m/>
    <m/>
    <m/>
    <m/>
    <m/>
    <m/>
    <m/>
  </r>
  <r>
    <m/>
    <m/>
    <m/>
    <m/>
    <m/>
    <x v="9"/>
    <e v="#N/A"/>
    <m/>
    <e v="#N/A"/>
    <m/>
    <m/>
    <m/>
    <m/>
    <m/>
    <m/>
    <m/>
    <m/>
    <m/>
    <m/>
    <m/>
    <m/>
    <m/>
    <m/>
    <m/>
    <m/>
    <m/>
    <m/>
    <m/>
    <m/>
  </r>
  <r>
    <m/>
    <m/>
    <m/>
    <m/>
    <m/>
    <x v="9"/>
    <e v="#N/A"/>
    <m/>
    <e v="#N/A"/>
    <m/>
    <m/>
    <m/>
    <m/>
    <m/>
    <m/>
    <m/>
    <m/>
    <m/>
    <m/>
    <m/>
    <m/>
    <m/>
    <m/>
    <m/>
    <m/>
    <m/>
    <m/>
    <m/>
    <m/>
  </r>
  <r>
    <m/>
    <m/>
    <m/>
    <m/>
    <m/>
    <x v="9"/>
    <e v="#N/A"/>
    <m/>
    <e v="#N/A"/>
    <m/>
    <m/>
    <m/>
    <m/>
    <m/>
    <m/>
    <m/>
    <m/>
    <m/>
    <m/>
    <m/>
    <m/>
    <m/>
    <m/>
    <m/>
    <m/>
    <m/>
    <m/>
    <m/>
    <m/>
  </r>
  <r>
    <m/>
    <m/>
    <m/>
    <m/>
    <m/>
    <x v="9"/>
    <e v="#N/A"/>
    <m/>
    <e v="#N/A"/>
    <m/>
    <m/>
    <m/>
    <m/>
    <m/>
    <m/>
    <m/>
    <m/>
    <m/>
    <m/>
    <m/>
    <m/>
    <m/>
    <m/>
    <m/>
    <m/>
    <m/>
    <m/>
    <m/>
    <m/>
  </r>
  <r>
    <m/>
    <m/>
    <m/>
    <m/>
    <m/>
    <x v="9"/>
    <e v="#N/A"/>
    <m/>
    <e v="#N/A"/>
    <m/>
    <m/>
    <m/>
    <m/>
    <m/>
    <m/>
    <m/>
    <m/>
    <m/>
    <m/>
    <m/>
    <m/>
    <m/>
    <m/>
    <m/>
    <m/>
    <m/>
    <m/>
    <m/>
    <m/>
  </r>
  <r>
    <m/>
    <m/>
    <m/>
    <m/>
    <m/>
    <x v="9"/>
    <e v="#N/A"/>
    <m/>
    <e v="#N/A"/>
    <m/>
    <m/>
    <m/>
    <m/>
    <m/>
    <m/>
    <m/>
    <m/>
    <m/>
    <m/>
    <m/>
    <m/>
    <m/>
    <m/>
    <m/>
    <m/>
    <m/>
    <m/>
    <m/>
    <m/>
  </r>
  <r>
    <m/>
    <m/>
    <m/>
    <m/>
    <m/>
    <x v="9"/>
    <e v="#N/A"/>
    <m/>
    <e v="#N/A"/>
    <m/>
    <m/>
    <m/>
    <m/>
    <m/>
    <m/>
    <m/>
    <m/>
    <m/>
    <m/>
    <m/>
    <m/>
    <m/>
    <m/>
    <m/>
    <m/>
    <m/>
    <m/>
    <m/>
    <m/>
  </r>
  <r>
    <m/>
    <m/>
    <m/>
    <m/>
    <m/>
    <x v="9"/>
    <e v="#N/A"/>
    <m/>
    <e v="#N/A"/>
    <m/>
    <m/>
    <m/>
    <m/>
    <m/>
    <m/>
    <m/>
    <m/>
    <m/>
    <m/>
    <m/>
    <m/>
    <m/>
    <m/>
    <m/>
    <m/>
    <m/>
    <m/>
    <m/>
    <m/>
  </r>
  <r>
    <m/>
    <m/>
    <m/>
    <m/>
    <m/>
    <x v="9"/>
    <e v="#N/A"/>
    <m/>
    <e v="#N/A"/>
    <m/>
    <m/>
    <m/>
    <m/>
    <m/>
    <m/>
    <m/>
    <m/>
    <m/>
    <m/>
    <m/>
    <m/>
    <m/>
    <m/>
    <m/>
    <m/>
    <m/>
    <m/>
    <m/>
    <m/>
  </r>
  <r>
    <m/>
    <m/>
    <m/>
    <m/>
    <m/>
    <x v="9"/>
    <e v="#N/A"/>
    <m/>
    <e v="#N/A"/>
    <m/>
    <m/>
    <m/>
    <m/>
    <m/>
    <m/>
    <m/>
    <m/>
    <m/>
    <m/>
    <m/>
    <m/>
    <m/>
    <m/>
    <m/>
    <m/>
    <m/>
    <m/>
    <m/>
    <m/>
  </r>
  <r>
    <m/>
    <m/>
    <m/>
    <m/>
    <m/>
    <x v="9"/>
    <e v="#N/A"/>
    <m/>
    <e v="#N/A"/>
    <m/>
    <m/>
    <m/>
    <m/>
    <m/>
    <m/>
    <m/>
    <m/>
    <m/>
    <m/>
    <m/>
    <m/>
    <m/>
    <m/>
    <m/>
    <m/>
    <m/>
    <m/>
    <m/>
    <m/>
  </r>
  <r>
    <m/>
    <m/>
    <m/>
    <m/>
    <m/>
    <x v="9"/>
    <e v="#N/A"/>
    <m/>
    <e v="#N/A"/>
    <m/>
    <m/>
    <m/>
    <m/>
    <m/>
    <m/>
    <m/>
    <m/>
    <m/>
    <m/>
    <m/>
    <m/>
    <m/>
    <m/>
    <m/>
    <m/>
    <m/>
    <m/>
    <m/>
    <m/>
  </r>
  <r>
    <m/>
    <m/>
    <m/>
    <m/>
    <m/>
    <x v="9"/>
    <e v="#N/A"/>
    <m/>
    <e v="#N/A"/>
    <m/>
    <m/>
    <m/>
    <m/>
    <m/>
    <m/>
    <m/>
    <m/>
    <m/>
    <m/>
    <m/>
    <m/>
    <m/>
    <m/>
    <m/>
    <m/>
    <m/>
    <m/>
    <m/>
    <m/>
  </r>
  <r>
    <m/>
    <m/>
    <m/>
    <m/>
    <m/>
    <x v="9"/>
    <e v="#N/A"/>
    <m/>
    <e v="#N/A"/>
    <m/>
    <m/>
    <m/>
    <m/>
    <m/>
    <m/>
    <m/>
    <m/>
    <m/>
    <m/>
    <m/>
    <m/>
    <m/>
    <m/>
    <m/>
    <m/>
    <m/>
    <m/>
    <m/>
    <m/>
  </r>
  <r>
    <m/>
    <m/>
    <m/>
    <m/>
    <m/>
    <x v="9"/>
    <e v="#N/A"/>
    <m/>
    <e v="#N/A"/>
    <m/>
    <m/>
    <m/>
    <m/>
    <m/>
    <m/>
    <m/>
    <m/>
    <m/>
    <m/>
    <m/>
    <m/>
    <m/>
    <m/>
    <m/>
    <m/>
    <m/>
    <m/>
    <m/>
    <m/>
  </r>
  <r>
    <m/>
    <m/>
    <m/>
    <m/>
    <m/>
    <x v="9"/>
    <e v="#N/A"/>
    <m/>
    <e v="#N/A"/>
    <m/>
    <m/>
    <m/>
    <m/>
    <m/>
    <m/>
    <m/>
    <m/>
    <m/>
    <m/>
    <m/>
    <m/>
    <m/>
    <m/>
    <m/>
    <m/>
    <m/>
    <m/>
    <m/>
    <m/>
  </r>
  <r>
    <m/>
    <m/>
    <m/>
    <m/>
    <m/>
    <x v="9"/>
    <e v="#N/A"/>
    <m/>
    <e v="#N/A"/>
    <m/>
    <m/>
    <m/>
    <m/>
    <m/>
    <m/>
    <m/>
    <m/>
    <m/>
    <m/>
    <m/>
    <m/>
    <m/>
    <m/>
    <m/>
    <m/>
    <m/>
    <m/>
    <m/>
    <m/>
  </r>
  <r>
    <m/>
    <m/>
    <m/>
    <m/>
    <m/>
    <x v="9"/>
    <e v="#N/A"/>
    <m/>
    <e v="#N/A"/>
    <m/>
    <m/>
    <m/>
    <m/>
    <m/>
    <m/>
    <m/>
    <m/>
    <m/>
    <m/>
    <m/>
    <m/>
    <m/>
    <m/>
    <m/>
    <m/>
    <m/>
    <m/>
    <m/>
    <m/>
  </r>
  <r>
    <m/>
    <m/>
    <m/>
    <m/>
    <m/>
    <x v="9"/>
    <e v="#N/A"/>
    <m/>
    <e v="#N/A"/>
    <m/>
    <m/>
    <m/>
    <m/>
    <m/>
    <m/>
    <m/>
    <m/>
    <m/>
    <m/>
    <m/>
    <m/>
    <m/>
    <m/>
    <m/>
    <m/>
    <m/>
    <m/>
    <m/>
    <m/>
  </r>
  <r>
    <m/>
    <m/>
    <m/>
    <m/>
    <m/>
    <x v="9"/>
    <e v="#N/A"/>
    <m/>
    <e v="#N/A"/>
    <m/>
    <m/>
    <m/>
    <m/>
    <m/>
    <m/>
    <m/>
    <m/>
    <m/>
    <m/>
    <m/>
    <m/>
    <m/>
    <m/>
    <m/>
    <m/>
    <m/>
    <m/>
    <m/>
    <m/>
  </r>
  <r>
    <m/>
    <m/>
    <m/>
    <m/>
    <m/>
    <x v="9"/>
    <e v="#N/A"/>
    <m/>
    <e v="#N/A"/>
    <m/>
    <m/>
    <m/>
    <m/>
    <m/>
    <m/>
    <m/>
    <m/>
    <m/>
    <m/>
    <m/>
    <m/>
    <m/>
    <m/>
    <m/>
    <m/>
    <m/>
    <m/>
    <m/>
    <m/>
  </r>
  <r>
    <m/>
    <m/>
    <m/>
    <m/>
    <m/>
    <x v="9"/>
    <e v="#N/A"/>
    <m/>
    <e v="#N/A"/>
    <m/>
    <m/>
    <m/>
    <m/>
    <m/>
    <m/>
    <m/>
    <m/>
    <m/>
    <m/>
    <m/>
    <m/>
    <m/>
    <m/>
    <m/>
    <m/>
    <m/>
    <m/>
    <m/>
    <m/>
  </r>
  <r>
    <m/>
    <m/>
    <m/>
    <m/>
    <m/>
    <x v="9"/>
    <e v="#N/A"/>
    <m/>
    <e v="#N/A"/>
    <m/>
    <m/>
    <m/>
    <m/>
    <m/>
    <m/>
    <m/>
    <m/>
    <m/>
    <m/>
    <m/>
    <m/>
    <m/>
    <m/>
    <m/>
    <m/>
    <m/>
    <m/>
    <m/>
    <m/>
  </r>
  <r>
    <m/>
    <m/>
    <m/>
    <m/>
    <m/>
    <x v="9"/>
    <e v="#N/A"/>
    <m/>
    <e v="#N/A"/>
    <m/>
    <m/>
    <m/>
    <m/>
    <m/>
    <m/>
    <m/>
    <m/>
    <m/>
    <m/>
    <m/>
    <m/>
    <m/>
    <m/>
    <m/>
    <m/>
    <m/>
    <m/>
    <m/>
    <m/>
  </r>
  <r>
    <m/>
    <m/>
    <m/>
    <m/>
    <m/>
    <x v="9"/>
    <e v="#N/A"/>
    <m/>
    <e v="#N/A"/>
    <m/>
    <m/>
    <m/>
    <m/>
    <m/>
    <m/>
    <m/>
    <m/>
    <m/>
    <m/>
    <m/>
    <m/>
    <m/>
    <m/>
    <m/>
    <m/>
    <m/>
    <m/>
    <m/>
    <m/>
  </r>
  <r>
    <m/>
    <m/>
    <m/>
    <m/>
    <m/>
    <x v="9"/>
    <e v="#N/A"/>
    <m/>
    <e v="#N/A"/>
    <m/>
    <m/>
    <m/>
    <m/>
    <m/>
    <m/>
    <m/>
    <m/>
    <m/>
    <m/>
    <m/>
    <m/>
    <m/>
    <m/>
    <m/>
    <m/>
    <m/>
    <m/>
    <m/>
    <m/>
  </r>
  <r>
    <m/>
    <m/>
    <m/>
    <m/>
    <m/>
    <x v="9"/>
    <e v="#N/A"/>
    <m/>
    <e v="#N/A"/>
    <m/>
    <m/>
    <m/>
    <m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name="PivotTable4" cacheId="1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5:J21" firstHeaderRow="1" firstDataRow="2" firstDataCol="1"/>
  <pivotFields count="29">
    <pivotField showAll="0"/>
    <pivotField showAll="0"/>
    <pivotField axis="axisRow" showAll="0" sortType="ascending">
      <items count="15">
        <item sd="0" x="0"/>
        <item x="1"/>
        <item sd="0" x="2"/>
        <item sd="0" x="3"/>
        <item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showAll="0" defaultSubtotal="0"/>
    <pivotField showAll="0" defaultSubtota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 defaultSubtotal="0"/>
    <pivotField dataField="1" showAll="0"/>
    <pivotField dataField="1" showAll="0"/>
    <pivotField showAll="0"/>
    <pivotField showAll="0"/>
    <pivotField dataField="1" showAll="0"/>
    <pivotField dataField="1" showAll="0"/>
    <pivotField dataField="1" showAll="0"/>
    <pivotField showAll="0"/>
    <pivotField dataField="1" showAll="0"/>
    <pivotField dataField="1" showAll="0"/>
    <pivotField dataField="1" showAll="0"/>
    <pivotField dataField="1" showAll="0"/>
    <pivotField showAll="0"/>
    <pivotField showAll="0"/>
  </pivotFields>
  <rowFields count="1">
    <field x="2"/>
  </rowFields>
  <rowItems count="1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 t="grand">
      <x/>
    </i>
  </rowItems>
  <colFields count="1">
    <field x="-2"/>
  </colFields>
  <colItems count="9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</colItems>
  <dataFields count="9">
    <dataField name="Sum of Tentes " fld="15" baseField="0" baseItem="0"/>
    <dataField name="Sum of Matelas" fld="16" baseField="0" baseItem="0"/>
    <dataField name="Sum of Baches 4m x 5m " fld="19" baseField="0" baseItem="0"/>
    <dataField name="Sum of Couvertures" fld="20" baseField="0" baseItem="0"/>
    <dataField name="Sum of Nattes" fld="21" baseField="0" baseItem="0"/>
    <dataField name="Sum of Kits cuisine" fld="23" baseField="0" baseItem="0"/>
    <dataField name="Sum of Bidons 10litres" fld="24" baseField="0" baseItem="0"/>
    <dataField name="Sum of Seaux" fld="25" baseField="0" baseItem="0"/>
    <dataField name="Sum of Moustiquaires " fld="26" baseField="0" baseItem="0"/>
  </dataFields>
  <formats count="7">
    <format dxfId="16">
      <pivotArea field="2" grandRow="1" outline="0" collapsedLevelsAreSubtotals="1" axis="axisRow" fieldPosition="0">
        <references count="1">
          <reference field="4294967294" count="1" selected="0">
            <x v="3"/>
          </reference>
        </references>
      </pivotArea>
    </format>
    <format dxfId="15">
      <pivotArea outline="0" collapsedLevelsAreSubtotals="1" fieldPosition="0"/>
    </format>
    <format dxfId="14">
      <pivotArea field="2" type="button" dataOnly="0" labelOnly="1" outline="0" axis="axisRow" fieldPosition="0"/>
    </format>
    <format dxfId="13">
      <pivotArea dataOnly="0" labelOnly="1" fieldPosition="0">
        <references count="1">
          <reference field="2" count="0"/>
        </references>
      </pivotArea>
    </format>
    <format dxfId="12">
      <pivotArea dataOnly="0" labelOnly="1" grandRow="1" outline="0" fieldPosition="0"/>
    </format>
    <format dxfId="11">
      <pivotArea dataOnly="0" labelOnly="1" outline="0" fieldPosition="0">
        <references count="1">
          <reference field="4294967294" count="9">
            <x v="0"/>
            <x v="1"/>
            <x v="2"/>
            <x v="3"/>
            <x v="4"/>
            <x v="5"/>
            <x v="6"/>
            <x v="7"/>
            <x v="8"/>
          </reference>
        </references>
      </pivotArea>
    </format>
    <format dxfId="10">
      <pivotArea dataOnly="0" labelOnly="1" fieldPosition="0">
        <references count="1">
          <reference field="2" count="0"/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PivotTable14" cacheId="3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5:L17" firstHeaderRow="1" firstDataRow="2" firstDataCol="1"/>
  <pivotFields count="29">
    <pivotField showAll="0"/>
    <pivotField showAll="0"/>
    <pivotField showAll="0"/>
    <pivotField showAll="0" defaultSubtotal="0"/>
    <pivotField showAll="0" defaultSubtotal="0"/>
    <pivotField axis="axisRow" showAll="0">
      <items count="11">
        <item x="4"/>
        <item sd="0" x="0"/>
        <item sd="0" x="6"/>
        <item sd="0" x="8"/>
        <item sd="0" x="5"/>
        <item sd="0" x="1"/>
        <item sd="0" x="2"/>
        <item sd="0" x="7"/>
        <item sd="0" x="3"/>
        <item x="9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 defaultSubtota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dataField="1" showAll="0"/>
    <pivotField dataField="1" showAll="0"/>
    <pivotField dataField="1" showAll="0"/>
    <pivotField dataField="1" showAll="0"/>
    <pivotField showAll="0"/>
    <pivotField showAll="0"/>
  </pivotFields>
  <rowFields count="1">
    <field x="5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1">
    <field x="-2"/>
  </colFields>
  <colItems count="11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</colItems>
  <dataFields count="11">
    <dataField name="Sum of Tentes " fld="15" baseField="0" baseItem="0"/>
    <dataField name="Sum of Matelas" fld="16" baseField="0" baseItem="0"/>
    <dataField name="Sum of Cordes" fld="17" baseField="0" baseItem="0"/>
    <dataField name="Sum of Baches en rouleau (4x50m)" fld="18" baseField="0" baseItem="0"/>
    <dataField name="Sum of Baches 4m x 5m " fld="19" baseField="0" baseItem="0"/>
    <dataField name="Sum of Couvertures" fld="20" baseField="0" baseItem="0"/>
    <dataField name="Sum of Nattes" fld="21" baseField="0" baseItem="0"/>
    <dataField name="Sum of Kits cuisine" fld="23" baseField="0" baseItem="0"/>
    <dataField name="Sum of Bidons 10litres" fld="24" baseField="0" baseItem="0"/>
    <dataField name="Sum of Seaux" fld="25" baseField="0" baseItem="0"/>
    <dataField name="Sum of Moustiquaires " fld="26" baseField="0" baseItem="0"/>
  </dataFields>
  <formats count="5">
    <format dxfId="9">
      <pivotArea outline="0" collapsedLevelsAreSubtotals="1" fieldPosition="0"/>
    </format>
    <format dxfId="8">
      <pivotArea field="5" type="button" dataOnly="0" labelOnly="1" outline="0" axis="axisRow" fieldPosition="0"/>
    </format>
    <format dxfId="7">
      <pivotArea dataOnly="0" labelOnly="1" fieldPosition="0">
        <references count="1">
          <reference field="5" count="0"/>
        </references>
      </pivotArea>
    </format>
    <format dxfId="6">
      <pivotArea dataOnly="0" labelOnly="1" grandRow="1" outline="0" fieldPosition="0"/>
    </format>
    <format dxfId="5">
      <pivotArea dataOnly="0" labelOnly="1" outline="0" fieldPosition="0">
        <references count="1">
          <reference field="4294967294" count="11">
            <x v="0"/>
            <x v="1"/>
            <x v="2"/>
            <x v="3"/>
            <x v="4"/>
            <x v="5"/>
            <x v="6"/>
            <x v="7"/>
            <x v="8"/>
            <x v="9"/>
            <x v="10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3.xml><?xml version="1.0" encoding="utf-8"?>
<pivotTableDefinition xmlns="http://schemas.openxmlformats.org/spreadsheetml/2006/main" name="PivotTable16" cacheId="0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 rowHeaderCaption="Agence">
  <location ref="A7:C23" firstHeaderRow="1" firstDataRow="2" firstDataCol="1"/>
  <pivotFields count="29">
    <pivotField showAll="0"/>
    <pivotField showAll="0"/>
    <pivotField axis="axisRow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2"/>
  </rowFields>
  <rowItems count="1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 t="grand">
      <x/>
    </i>
  </rowItems>
  <colFields count="1">
    <field x="-2"/>
  </colFields>
  <colItems count="2">
    <i>
      <x/>
    </i>
    <i i="1">
      <x v="1"/>
    </i>
  </colItems>
  <dataFields count="2">
    <dataField name=" #  Familles" fld="10" baseField="0" baseItem="0"/>
    <dataField name=" # Personnes" fld="11" baseField="0" baseItem="0"/>
  </dataFields>
  <formats count="5">
    <format dxfId="4">
      <pivotArea outline="0" collapsedLevelsAreSubtotals="1" fieldPosition="0"/>
    </format>
    <format dxfId="3">
      <pivotArea field="2" type="button" dataOnly="0" labelOnly="1" outline="0" axis="axisRow" fieldPosition="0"/>
    </format>
    <format dxfId="2">
      <pivotArea dataOnly="0" labelOnly="1" fieldPosition="0">
        <references count="1">
          <reference field="2" count="0"/>
        </references>
      </pivotArea>
    </format>
    <format dxfId="1">
      <pivotArea dataOnly="0" labelOnly="1" grandRow="1" outline="0" fieldPosition="0"/>
    </format>
    <format dxfId="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4.xml><?xml version="1.0" encoding="utf-8"?>
<pivotTableDefinition xmlns="http://schemas.openxmlformats.org/spreadsheetml/2006/main" name="PivotTable9" cacheId="2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7:C18" firstHeaderRow="1" firstDataRow="2" firstDataCol="1"/>
  <pivotFields count="29">
    <pivotField showAll="0"/>
    <pivotField showAll="0"/>
    <pivotField showAll="0"/>
    <pivotField showAll="0" defaultSubtotal="0"/>
    <pivotField showAll="0" defaultSubtotal="0"/>
    <pivotField axis="axisRow" showAll="0">
      <items count="10">
        <item x="4"/>
        <item x="0"/>
        <item x="6"/>
        <item x="8"/>
        <item x="5"/>
        <item x="1"/>
        <item x="2"/>
        <item x="7"/>
        <item x="3"/>
        <item t="default"/>
      </items>
    </pivotField>
    <pivotField showAll="0"/>
    <pivotField showAll="0"/>
    <pivotField showAll="0"/>
    <pivotField showAll="0"/>
    <pivotField dataField="1" showAll="0"/>
    <pivotField dataField="1" showAll="0"/>
    <pivotField showAll="0"/>
    <pivotField showAll="0"/>
    <pivotField showAll="0" defaultSubtota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5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#  Familles" fld="10" baseField="0" baseItem="0"/>
    <dataField name="Sum of # Personnes" fld="11" baseField="0" baseItem="0"/>
  </dataField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Relationship Id="rId5" Type="http://schemas.openxmlformats.org/officeDocument/2006/relationships/comments" Target="../comments3.xml"/><Relationship Id="rId4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3.xml"/><Relationship Id="rId5" Type="http://schemas.openxmlformats.org/officeDocument/2006/relationships/comments" Target="../comments4.xml"/><Relationship Id="rId4" Type="http://schemas.openxmlformats.org/officeDocument/2006/relationships/vmlDrawing" Target="../drawings/vmlDrawing4.v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.bin"/><Relationship Id="rId2" Type="http://schemas.openxmlformats.org/officeDocument/2006/relationships/externalLinkPath" Target="/Users/djusselme/AppData/Local/Microsoft/Windows/Temporary%20Internet%20Files/Content.Outlook/H8W1Y8FE/Stock%20%20de%20Contingence%20DRAFT%2004-02-2013.xlsx" TargetMode="External"/><Relationship Id="rId1" Type="http://schemas.openxmlformats.org/officeDocument/2006/relationships/externalLinkPath" Target="/Users/djusselme/AppData/Local/Microsoft/Windows/Temporary%20Internet%20Files/Content.Outlook/H8W1Y8FE/Stock%20%20de%20Contingence%20DRAFT%2004-02-2013.xlsx" TargetMode="External"/><Relationship Id="rId5" Type="http://schemas.openxmlformats.org/officeDocument/2006/relationships/comments" Target="../comments5.xml"/><Relationship Id="rId4" Type="http://schemas.openxmlformats.org/officeDocument/2006/relationships/vmlDrawing" Target="../drawings/vmlDrawing5.v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ivotTable" Target="../pivotTables/pivotTable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</sheetPr>
  <dimension ref="A1:AB1259"/>
  <sheetViews>
    <sheetView tabSelected="1" topLeftCell="G1" zoomScaleNormal="100" workbookViewId="0">
      <selection activeCell="T7" sqref="T7"/>
    </sheetView>
  </sheetViews>
  <sheetFormatPr baseColWidth="10" defaultColWidth="9.140625" defaultRowHeight="12.75" x14ac:dyDescent="0.2"/>
  <cols>
    <col min="1" max="2" width="15.85546875" style="33" bestFit="1" customWidth="1"/>
    <col min="3" max="3" width="18.28515625" style="33" bestFit="1" customWidth="1"/>
    <col min="4" max="4" width="33.140625" style="33" bestFit="1" customWidth="1"/>
    <col min="5" max="5" width="33.140625" style="33" customWidth="1"/>
    <col min="6" max="6" width="22.28515625" style="33" bestFit="1" customWidth="1"/>
    <col min="7" max="7" width="8.85546875" style="33" bestFit="1" customWidth="1"/>
    <col min="8" max="8" width="23.42578125" style="33" bestFit="1" customWidth="1"/>
    <col min="9" max="9" width="8.85546875" style="33" bestFit="1" customWidth="1"/>
    <col min="10" max="10" width="25.28515625" style="33" customWidth="1"/>
    <col min="11" max="11" width="10.42578125" style="140" bestFit="1" customWidth="1"/>
    <col min="12" max="12" width="11.5703125" style="140" bestFit="1" customWidth="1"/>
    <col min="13" max="13" width="11.140625" style="33" customWidth="1"/>
    <col min="14" max="15" width="9.28515625" style="33" bestFit="1" customWidth="1"/>
    <col min="16" max="16" width="9.140625" style="33"/>
    <col min="17" max="17" width="14.28515625" style="33" bestFit="1" customWidth="1"/>
    <col min="18" max="18" width="16" style="33" bestFit="1" customWidth="1"/>
    <col min="19" max="20" width="10.42578125" style="33" bestFit="1" customWidth="1"/>
    <col min="21" max="21" width="9.140625" style="33"/>
    <col min="22" max="22" width="9.28515625" style="33" bestFit="1" customWidth="1"/>
    <col min="23" max="24" width="10.42578125" style="33" bestFit="1" customWidth="1"/>
    <col min="25" max="25" width="13.42578125" style="33" customWidth="1"/>
    <col min="26" max="26" width="11.140625" style="33" customWidth="1"/>
    <col min="27" max="27" width="255.7109375" style="225" bestFit="1" customWidth="1"/>
    <col min="28" max="16384" width="9.140625" style="33"/>
  </cols>
  <sheetData>
    <row r="1" spans="1:28" ht="12.75" customHeight="1" x14ac:dyDescent="0.2">
      <c r="A1" s="246" t="s">
        <v>1722</v>
      </c>
      <c r="B1" s="247"/>
      <c r="C1" s="248"/>
      <c r="F1" s="252" t="s">
        <v>1723</v>
      </c>
      <c r="G1" s="252"/>
      <c r="H1" s="252"/>
      <c r="I1" s="252"/>
      <c r="J1" s="252"/>
      <c r="K1" s="252"/>
      <c r="L1" s="252"/>
      <c r="M1" s="252"/>
    </row>
    <row r="2" spans="1:28" ht="23.25" customHeight="1" thickBot="1" x14ac:dyDescent="0.3">
      <c r="A2" s="249"/>
      <c r="B2" s="250"/>
      <c r="C2" s="251"/>
      <c r="D2" s="147" t="s">
        <v>1769</v>
      </c>
      <c r="E2" s="139"/>
      <c r="F2" s="252"/>
      <c r="G2" s="252"/>
      <c r="H2" s="252"/>
      <c r="I2" s="252"/>
      <c r="J2" s="252"/>
      <c r="K2" s="252"/>
      <c r="L2" s="252"/>
      <c r="M2" s="252"/>
      <c r="N2" s="253" t="s">
        <v>1795</v>
      </c>
      <c r="O2" s="253"/>
      <c r="P2" s="253"/>
      <c r="Q2" s="253"/>
      <c r="R2" s="253"/>
      <c r="S2" s="253"/>
      <c r="T2" s="253"/>
      <c r="U2" s="253"/>
      <c r="V2" s="253"/>
      <c r="W2" s="253"/>
      <c r="X2" s="253"/>
      <c r="Y2" s="253"/>
      <c r="Z2" s="253"/>
      <c r="AA2" s="226"/>
    </row>
    <row r="3" spans="1:28" ht="15.75" x14ac:dyDescent="0.25">
      <c r="C3" s="138"/>
      <c r="D3" s="147" t="s">
        <v>1772</v>
      </c>
      <c r="E3" s="139"/>
      <c r="G3" s="34"/>
      <c r="H3" s="34"/>
      <c r="I3" s="34"/>
      <c r="J3" s="34"/>
      <c r="N3" s="223">
        <f>SUM(N5:N387)</f>
        <v>17</v>
      </c>
      <c r="O3" s="223">
        <f t="shared" ref="O3:Z3" si="0">SUM(O5:O387)</f>
        <v>750</v>
      </c>
      <c r="P3" s="223">
        <f t="shared" si="0"/>
        <v>0</v>
      </c>
      <c r="Q3" s="223">
        <f t="shared" si="0"/>
        <v>2</v>
      </c>
      <c r="R3" s="223">
        <f t="shared" si="0"/>
        <v>7348</v>
      </c>
      <c r="S3" s="223">
        <f t="shared" si="0"/>
        <v>32637</v>
      </c>
      <c r="T3" s="223">
        <f t="shared" si="0"/>
        <v>33148</v>
      </c>
      <c r="U3" s="223">
        <f t="shared" si="0"/>
        <v>0</v>
      </c>
      <c r="V3" s="223">
        <f t="shared" si="0"/>
        <v>9169</v>
      </c>
      <c r="W3" s="223">
        <f t="shared" si="0"/>
        <v>5152</v>
      </c>
      <c r="X3" s="223">
        <f t="shared" si="0"/>
        <v>3642</v>
      </c>
      <c r="Y3" s="223">
        <f t="shared" si="0"/>
        <v>9365</v>
      </c>
      <c r="Z3" s="223">
        <f t="shared" si="0"/>
        <v>0</v>
      </c>
    </row>
    <row r="4" spans="1:28" s="35" customFormat="1" ht="57.75" x14ac:dyDescent="0.25">
      <c r="A4" s="123" t="s">
        <v>1650</v>
      </c>
      <c r="B4" s="123" t="s">
        <v>1651</v>
      </c>
      <c r="C4" s="124" t="s">
        <v>1771</v>
      </c>
      <c r="D4" s="124" t="s">
        <v>1774</v>
      </c>
      <c r="E4" s="124" t="s">
        <v>1770</v>
      </c>
      <c r="F4" s="125" t="s">
        <v>1724</v>
      </c>
      <c r="G4" s="126" t="s">
        <v>1457</v>
      </c>
      <c r="H4" s="127" t="s">
        <v>1725</v>
      </c>
      <c r="I4" s="128" t="s">
        <v>1457</v>
      </c>
      <c r="J4" s="125" t="s">
        <v>1726</v>
      </c>
      <c r="K4" s="159" t="s">
        <v>1729</v>
      </c>
      <c r="L4" s="159" t="s">
        <v>1730</v>
      </c>
      <c r="M4" s="129" t="s">
        <v>1761</v>
      </c>
      <c r="N4" s="130" t="s">
        <v>1737</v>
      </c>
      <c r="O4" s="130" t="s">
        <v>1446</v>
      </c>
      <c r="P4" s="130" t="s">
        <v>1447</v>
      </c>
      <c r="Q4" s="130" t="s">
        <v>1742</v>
      </c>
      <c r="R4" s="130" t="s">
        <v>1738</v>
      </c>
      <c r="S4" s="130" t="s">
        <v>1449</v>
      </c>
      <c r="T4" s="130" t="s">
        <v>1450</v>
      </c>
      <c r="U4" s="130" t="s">
        <v>1451</v>
      </c>
      <c r="V4" s="130" t="s">
        <v>1452</v>
      </c>
      <c r="W4" s="130" t="s">
        <v>1715</v>
      </c>
      <c r="X4" s="130" t="s">
        <v>1453</v>
      </c>
      <c r="Y4" s="130" t="s">
        <v>1454</v>
      </c>
      <c r="Z4" s="130" t="s">
        <v>1455</v>
      </c>
      <c r="AA4" s="131" t="s">
        <v>1731</v>
      </c>
      <c r="AB4" s="122"/>
    </row>
    <row r="5" spans="1:28" s="42" customFormat="1" ht="12" customHeight="1" x14ac:dyDescent="0.25">
      <c r="A5" s="36">
        <v>41187</v>
      </c>
      <c r="B5" s="36">
        <v>41187</v>
      </c>
      <c r="C5" s="37" t="s">
        <v>1624</v>
      </c>
      <c r="D5" s="37" t="s">
        <v>1624</v>
      </c>
      <c r="E5" s="37" t="s">
        <v>1624</v>
      </c>
      <c r="F5" s="132" t="s">
        <v>693</v>
      </c>
      <c r="G5" s="41">
        <f>VLOOKUP(F5,Pcode!A:B,2,FALSE)</f>
        <v>1</v>
      </c>
      <c r="H5" s="41" t="s">
        <v>772</v>
      </c>
      <c r="I5" s="41">
        <f>VLOOKUP(H5,Pcode!C:D,2,FALSE)</f>
        <v>111</v>
      </c>
      <c r="J5" s="41" t="s">
        <v>1659</v>
      </c>
      <c r="K5" s="47">
        <v>415</v>
      </c>
      <c r="L5" s="47">
        <v>3674</v>
      </c>
      <c r="M5" s="46" t="s">
        <v>1728</v>
      </c>
      <c r="N5" s="48"/>
      <c r="O5" s="48">
        <v>415</v>
      </c>
      <c r="P5" s="51"/>
      <c r="Q5" s="48"/>
      <c r="R5" s="48"/>
      <c r="S5" s="48">
        <v>830</v>
      </c>
      <c r="T5" s="48">
        <v>830</v>
      </c>
      <c r="U5" s="48"/>
      <c r="V5" s="48">
        <v>415</v>
      </c>
      <c r="W5" s="48"/>
      <c r="X5" s="48"/>
      <c r="Y5" s="48">
        <v>830</v>
      </c>
      <c r="Z5" s="48"/>
      <c r="AA5" s="227" t="s">
        <v>1664</v>
      </c>
    </row>
    <row r="6" spans="1:28" s="42" customFormat="1" ht="12" customHeight="1" x14ac:dyDescent="0.25">
      <c r="A6" s="36">
        <v>41187</v>
      </c>
      <c r="B6" s="36">
        <v>41187</v>
      </c>
      <c r="C6" s="37" t="s">
        <v>1624</v>
      </c>
      <c r="D6" s="37" t="s">
        <v>1624</v>
      </c>
      <c r="E6" s="37" t="s">
        <v>1624</v>
      </c>
      <c r="F6" s="222" t="s">
        <v>1463</v>
      </c>
      <c r="G6" s="224">
        <f>VLOOKUP(F6,Pcode!A:B,2,FALSE)</f>
        <v>3</v>
      </c>
      <c r="H6" s="133" t="s">
        <v>783</v>
      </c>
      <c r="I6" s="41">
        <f>VLOOKUP(H6,Pcode!C:D,2,FALSE)</f>
        <v>315</v>
      </c>
      <c r="J6" s="133" t="s">
        <v>199</v>
      </c>
      <c r="K6" s="47">
        <v>285</v>
      </c>
      <c r="L6" s="47">
        <v>798</v>
      </c>
      <c r="M6" s="46" t="s">
        <v>1728</v>
      </c>
      <c r="N6" s="48"/>
      <c r="O6" s="48">
        <v>285</v>
      </c>
      <c r="P6" s="51"/>
      <c r="Q6" s="48"/>
      <c r="R6" s="48"/>
      <c r="S6" s="48">
        <v>570</v>
      </c>
      <c r="T6" s="48">
        <v>570</v>
      </c>
      <c r="U6" s="48"/>
      <c r="V6" s="48">
        <v>285</v>
      </c>
      <c r="W6" s="48"/>
      <c r="X6" s="48"/>
      <c r="Y6" s="48">
        <v>570</v>
      </c>
      <c r="Z6" s="48"/>
      <c r="AA6" s="227" t="s">
        <v>1664</v>
      </c>
    </row>
    <row r="7" spans="1:28" s="42" customFormat="1" ht="12" customHeight="1" x14ac:dyDescent="0.25">
      <c r="A7" s="36">
        <v>41201</v>
      </c>
      <c r="B7" s="36">
        <v>41201</v>
      </c>
      <c r="C7" s="37" t="s">
        <v>1624</v>
      </c>
      <c r="D7" s="37" t="s">
        <v>1480</v>
      </c>
      <c r="E7" s="37" t="s">
        <v>1624</v>
      </c>
      <c r="F7" s="132" t="s">
        <v>696</v>
      </c>
      <c r="G7" s="41">
        <f>VLOOKUP(F7,Pcode!A:B,2,FALSE)</f>
        <v>5</v>
      </c>
      <c r="H7" s="41" t="s">
        <v>800</v>
      </c>
      <c r="I7" s="41">
        <f>VLOOKUP(H7,Pcode!C:D,2,FALSE)</f>
        <v>517</v>
      </c>
      <c r="J7" s="41" t="s">
        <v>499</v>
      </c>
      <c r="K7" s="47">
        <v>262</v>
      </c>
      <c r="L7" s="47">
        <v>1572</v>
      </c>
      <c r="M7" s="46" t="s">
        <v>1728</v>
      </c>
      <c r="N7" s="48"/>
      <c r="O7" s="48"/>
      <c r="P7" s="48"/>
      <c r="Q7" s="48"/>
      <c r="R7" s="48">
        <v>262</v>
      </c>
      <c r="S7" s="48">
        <v>524</v>
      </c>
      <c r="T7" s="48">
        <v>524</v>
      </c>
      <c r="U7" s="48"/>
      <c r="V7" s="48">
        <v>262</v>
      </c>
      <c r="W7" s="48"/>
      <c r="X7" s="48"/>
      <c r="Y7" s="48"/>
      <c r="Z7" s="48"/>
      <c r="AA7" s="227" t="s">
        <v>1665</v>
      </c>
    </row>
    <row r="8" spans="1:28" s="42" customFormat="1" ht="12" customHeight="1" x14ac:dyDescent="0.25">
      <c r="A8" s="36">
        <v>41201</v>
      </c>
      <c r="B8" s="36">
        <v>41201</v>
      </c>
      <c r="C8" s="37" t="s">
        <v>1624</v>
      </c>
      <c r="D8" s="37" t="s">
        <v>1480</v>
      </c>
      <c r="E8" s="37" t="s">
        <v>1624</v>
      </c>
      <c r="F8" s="132" t="s">
        <v>696</v>
      </c>
      <c r="G8" s="41">
        <f>VLOOKUP(F8,Pcode!A:B,2,FALSE)</f>
        <v>5</v>
      </c>
      <c r="H8" s="41" t="s">
        <v>800</v>
      </c>
      <c r="I8" s="41">
        <f>VLOOKUP(H8,Pcode!C:D,2,FALSE)</f>
        <v>517</v>
      </c>
      <c r="J8" s="41" t="s">
        <v>492</v>
      </c>
      <c r="K8" s="47">
        <v>284</v>
      </c>
      <c r="L8" s="47">
        <v>1704</v>
      </c>
      <c r="M8" s="46" t="s">
        <v>1728</v>
      </c>
      <c r="N8" s="48"/>
      <c r="O8" s="48"/>
      <c r="P8" s="48"/>
      <c r="Q8" s="48"/>
      <c r="R8" s="48">
        <v>284</v>
      </c>
      <c r="S8" s="48">
        <v>568</v>
      </c>
      <c r="T8" s="48">
        <v>568</v>
      </c>
      <c r="U8" s="48"/>
      <c r="V8" s="48">
        <v>284</v>
      </c>
      <c r="W8" s="48"/>
      <c r="X8" s="48"/>
      <c r="Y8" s="48"/>
      <c r="Z8" s="48"/>
      <c r="AA8" s="227" t="s">
        <v>1665</v>
      </c>
    </row>
    <row r="9" spans="1:28" s="42" customFormat="1" ht="12" customHeight="1" x14ac:dyDescent="0.25">
      <c r="A9" s="36">
        <v>41201</v>
      </c>
      <c r="B9" s="36">
        <v>41201</v>
      </c>
      <c r="C9" s="37" t="s">
        <v>1624</v>
      </c>
      <c r="D9" s="37" t="s">
        <v>1480</v>
      </c>
      <c r="E9" s="37" t="s">
        <v>1624</v>
      </c>
      <c r="F9" s="132" t="s">
        <v>696</v>
      </c>
      <c r="G9" s="41">
        <f>VLOOKUP(F9,Pcode!A:B,2,FALSE)</f>
        <v>5</v>
      </c>
      <c r="H9" s="41" t="s">
        <v>800</v>
      </c>
      <c r="I9" s="41">
        <f>VLOOKUP(H9,Pcode!C:D,2,FALSE)</f>
        <v>517</v>
      </c>
      <c r="J9" s="41" t="s">
        <v>496</v>
      </c>
      <c r="K9" s="47">
        <v>51</v>
      </c>
      <c r="L9" s="47">
        <v>306</v>
      </c>
      <c r="M9" s="46" t="s">
        <v>1728</v>
      </c>
      <c r="N9" s="48"/>
      <c r="O9" s="48"/>
      <c r="P9" s="48"/>
      <c r="Q9" s="48"/>
      <c r="R9" s="48">
        <v>51</v>
      </c>
      <c r="S9" s="48">
        <v>102</v>
      </c>
      <c r="T9" s="48">
        <v>102</v>
      </c>
      <c r="U9" s="48"/>
      <c r="V9" s="48">
        <v>51</v>
      </c>
      <c r="W9" s="48"/>
      <c r="X9" s="48"/>
      <c r="Y9" s="48"/>
      <c r="Z9" s="48"/>
      <c r="AA9" s="227" t="s">
        <v>1665</v>
      </c>
    </row>
    <row r="10" spans="1:28" s="42" customFormat="1" ht="12" customHeight="1" x14ac:dyDescent="0.25">
      <c r="A10" s="36">
        <v>41006</v>
      </c>
      <c r="B10" s="36">
        <v>41006</v>
      </c>
      <c r="C10" s="37" t="s">
        <v>1647</v>
      </c>
      <c r="D10" s="37" t="s">
        <v>1480</v>
      </c>
      <c r="E10" s="37" t="s">
        <v>1647</v>
      </c>
      <c r="F10" s="37" t="s">
        <v>697</v>
      </c>
      <c r="G10" s="41">
        <f>VLOOKUP(F10,Pcode!A:B,2,FALSE)</f>
        <v>7</v>
      </c>
      <c r="H10" s="41" t="s">
        <v>1352</v>
      </c>
      <c r="I10" s="41">
        <f>VLOOKUP(H10,Pcode!C:D,2,FALSE)</f>
        <v>711</v>
      </c>
      <c r="J10" s="41" t="s">
        <v>613</v>
      </c>
      <c r="K10" s="143">
        <v>200</v>
      </c>
      <c r="L10" s="143">
        <f>K10*6</f>
        <v>1200</v>
      </c>
      <c r="M10" s="46" t="s">
        <v>1728</v>
      </c>
      <c r="N10" s="48"/>
      <c r="O10" s="48"/>
      <c r="P10" s="48"/>
      <c r="Q10" s="48"/>
      <c r="R10" s="48">
        <v>200</v>
      </c>
      <c r="S10" s="48">
        <v>400</v>
      </c>
      <c r="T10" s="48">
        <v>400</v>
      </c>
      <c r="U10" s="48"/>
      <c r="V10" s="48">
        <v>200</v>
      </c>
      <c r="W10" s="48"/>
      <c r="X10" s="48"/>
      <c r="Y10" s="48"/>
      <c r="Z10" s="48"/>
      <c r="AA10" s="227" t="s">
        <v>1806</v>
      </c>
    </row>
    <row r="11" spans="1:28" s="156" customFormat="1" ht="12" customHeight="1" x14ac:dyDescent="0.25">
      <c r="A11" s="36">
        <v>41212</v>
      </c>
      <c r="B11" s="36">
        <v>41213</v>
      </c>
      <c r="C11" s="37" t="s">
        <v>1647</v>
      </c>
      <c r="D11" s="37" t="s">
        <v>1480</v>
      </c>
      <c r="E11" s="37" t="s">
        <v>1647</v>
      </c>
      <c r="F11" s="37" t="s">
        <v>697</v>
      </c>
      <c r="G11" s="41">
        <f>VLOOKUP(F11,Pcode!A:B,2,FALSE)</f>
        <v>7</v>
      </c>
      <c r="H11" s="41" t="s">
        <v>805</v>
      </c>
      <c r="I11" s="41">
        <f>VLOOKUP(H11,Pcode!C:D,2,FALSE)</f>
        <v>712</v>
      </c>
      <c r="J11" s="41" t="s">
        <v>626</v>
      </c>
      <c r="K11" s="47">
        <v>100</v>
      </c>
      <c r="L11" s="47">
        <v>600</v>
      </c>
      <c r="M11" s="46" t="s">
        <v>1728</v>
      </c>
      <c r="N11" s="48"/>
      <c r="O11" s="48"/>
      <c r="P11" s="48"/>
      <c r="Q11" s="48"/>
      <c r="R11" s="48">
        <v>100</v>
      </c>
      <c r="S11" s="48">
        <v>200</v>
      </c>
      <c r="T11" s="48">
        <v>200</v>
      </c>
      <c r="U11" s="48"/>
      <c r="V11" s="48">
        <v>100</v>
      </c>
      <c r="W11" s="48"/>
      <c r="X11" s="48"/>
      <c r="Y11" s="48"/>
      <c r="Z11" s="48"/>
      <c r="AA11" s="227" t="s">
        <v>1806</v>
      </c>
    </row>
    <row r="12" spans="1:28" s="156" customFormat="1" ht="12" customHeight="1" x14ac:dyDescent="0.25">
      <c r="A12" s="36">
        <v>41179</v>
      </c>
      <c r="B12" s="36">
        <v>41179</v>
      </c>
      <c r="C12" s="37" t="s">
        <v>1646</v>
      </c>
      <c r="D12" s="37" t="s">
        <v>1480</v>
      </c>
      <c r="E12" s="37" t="s">
        <v>1646</v>
      </c>
      <c r="F12" s="37" t="s">
        <v>697</v>
      </c>
      <c r="G12" s="41">
        <f>VLOOKUP(F12,Pcode!A:B,2,FALSE)</f>
        <v>7</v>
      </c>
      <c r="H12" s="41" t="s">
        <v>1352</v>
      </c>
      <c r="I12" s="41">
        <f>VLOOKUP(H12,Pcode!C:D,2,FALSE)</f>
        <v>711</v>
      </c>
      <c r="J12" s="41" t="s">
        <v>609</v>
      </c>
      <c r="K12" s="47">
        <v>200</v>
      </c>
      <c r="L12" s="47">
        <v>1200</v>
      </c>
      <c r="M12" s="46" t="s">
        <v>1728</v>
      </c>
      <c r="N12" s="48"/>
      <c r="O12" s="48"/>
      <c r="P12" s="48"/>
      <c r="Q12" s="48"/>
      <c r="R12" s="48">
        <v>200</v>
      </c>
      <c r="S12" s="48">
        <v>400</v>
      </c>
      <c r="T12" s="48">
        <v>400</v>
      </c>
      <c r="U12" s="48"/>
      <c r="V12" s="48">
        <v>200</v>
      </c>
      <c r="W12" s="48"/>
      <c r="X12" s="48"/>
      <c r="Y12" s="48"/>
      <c r="Z12" s="48"/>
      <c r="AA12" s="227" t="s">
        <v>1806</v>
      </c>
    </row>
    <row r="13" spans="1:28" s="156" customFormat="1" ht="12" customHeight="1" x14ac:dyDescent="0.25">
      <c r="A13" s="36">
        <v>41180</v>
      </c>
      <c r="B13" s="36">
        <v>41180</v>
      </c>
      <c r="C13" s="37" t="s">
        <v>1646</v>
      </c>
      <c r="D13" s="37" t="s">
        <v>1480</v>
      </c>
      <c r="E13" s="37" t="s">
        <v>1646</v>
      </c>
      <c r="F13" s="37" t="s">
        <v>697</v>
      </c>
      <c r="G13" s="41">
        <f>VLOOKUP(F13,Pcode!A:B,2,FALSE)</f>
        <v>7</v>
      </c>
      <c r="H13" s="41" t="s">
        <v>1352</v>
      </c>
      <c r="I13" s="41">
        <f>VLOOKUP(H13,Pcode!C:D,2,FALSE)</f>
        <v>711</v>
      </c>
      <c r="J13" s="41" t="s">
        <v>613</v>
      </c>
      <c r="K13" s="143">
        <v>200</v>
      </c>
      <c r="L13" s="143">
        <f>K13*6</f>
        <v>1200</v>
      </c>
      <c r="M13" s="46" t="s">
        <v>1728</v>
      </c>
      <c r="N13" s="48"/>
      <c r="O13" s="48"/>
      <c r="P13" s="48"/>
      <c r="Q13" s="48"/>
      <c r="R13" s="48">
        <v>200</v>
      </c>
      <c r="S13" s="48">
        <v>400</v>
      </c>
      <c r="T13" s="48">
        <v>400</v>
      </c>
      <c r="U13" s="48"/>
      <c r="V13" s="48">
        <v>200</v>
      </c>
      <c r="W13" s="48"/>
      <c r="X13" s="48"/>
      <c r="Y13" s="48"/>
      <c r="Z13" s="48"/>
      <c r="AA13" s="227" t="s">
        <v>1806</v>
      </c>
    </row>
    <row r="14" spans="1:28" s="156" customFormat="1" ht="12" customHeight="1" x14ac:dyDescent="0.25">
      <c r="A14" s="36">
        <v>41183</v>
      </c>
      <c r="B14" s="36">
        <v>41183</v>
      </c>
      <c r="C14" s="37" t="s">
        <v>1646</v>
      </c>
      <c r="D14" s="37" t="s">
        <v>1480</v>
      </c>
      <c r="E14" s="37" t="s">
        <v>1646</v>
      </c>
      <c r="F14" s="37" t="s">
        <v>697</v>
      </c>
      <c r="G14" s="41">
        <f>VLOOKUP(F14,Pcode!A:B,2,FALSE)</f>
        <v>7</v>
      </c>
      <c r="H14" s="41" t="s">
        <v>1352</v>
      </c>
      <c r="I14" s="41">
        <f>VLOOKUP(H14,Pcode!C:D,2,FALSE)</f>
        <v>711</v>
      </c>
      <c r="J14" s="41" t="s">
        <v>613</v>
      </c>
      <c r="K14" s="143">
        <v>120</v>
      </c>
      <c r="L14" s="143">
        <f>K14*6</f>
        <v>720</v>
      </c>
      <c r="M14" s="46" t="s">
        <v>1728</v>
      </c>
      <c r="N14" s="48"/>
      <c r="O14" s="48"/>
      <c r="P14" s="48"/>
      <c r="Q14" s="48"/>
      <c r="R14" s="48">
        <v>120</v>
      </c>
      <c r="S14" s="48">
        <v>240</v>
      </c>
      <c r="T14" s="48">
        <v>240</v>
      </c>
      <c r="U14" s="48"/>
      <c r="V14" s="48">
        <v>120</v>
      </c>
      <c r="W14" s="48"/>
      <c r="X14" s="48"/>
      <c r="Y14" s="48"/>
      <c r="Z14" s="48"/>
      <c r="AA14" s="227" t="s">
        <v>1806</v>
      </c>
    </row>
    <row r="15" spans="1:28" s="156" customFormat="1" ht="12" customHeight="1" x14ac:dyDescent="0.25">
      <c r="A15" s="36">
        <v>41183</v>
      </c>
      <c r="B15" s="36">
        <v>41183</v>
      </c>
      <c r="C15" s="37" t="s">
        <v>1646</v>
      </c>
      <c r="D15" s="37" t="s">
        <v>1480</v>
      </c>
      <c r="E15" s="37" t="s">
        <v>1646</v>
      </c>
      <c r="F15" s="37" t="s">
        <v>697</v>
      </c>
      <c r="G15" s="41">
        <f>VLOOKUP(F15,Pcode!A:B,2,FALSE)</f>
        <v>7</v>
      </c>
      <c r="H15" s="41" t="s">
        <v>1352</v>
      </c>
      <c r="I15" s="41">
        <f>VLOOKUP(H15,Pcode!C:D,2,FALSE)</f>
        <v>711</v>
      </c>
      <c r="J15" s="41" t="s">
        <v>613</v>
      </c>
      <c r="K15" s="143">
        <v>120</v>
      </c>
      <c r="L15" s="143">
        <f>K15*6</f>
        <v>720</v>
      </c>
      <c r="M15" s="46" t="s">
        <v>1728</v>
      </c>
      <c r="N15" s="48"/>
      <c r="O15" s="48"/>
      <c r="P15" s="48"/>
      <c r="Q15" s="48"/>
      <c r="R15" s="48">
        <v>120</v>
      </c>
      <c r="S15" s="48">
        <v>240</v>
      </c>
      <c r="T15" s="48">
        <v>240</v>
      </c>
      <c r="U15" s="48"/>
      <c r="V15" s="48">
        <v>120</v>
      </c>
      <c r="W15" s="48"/>
      <c r="X15" s="48"/>
      <c r="Y15" s="48"/>
      <c r="Z15" s="48"/>
      <c r="AA15" s="227" t="s">
        <v>1806</v>
      </c>
    </row>
    <row r="16" spans="1:28" s="156" customFormat="1" ht="12" customHeight="1" x14ac:dyDescent="0.25">
      <c r="A16" s="36">
        <v>41200</v>
      </c>
      <c r="B16" s="36">
        <v>41200</v>
      </c>
      <c r="C16" s="37" t="s">
        <v>1646</v>
      </c>
      <c r="D16" s="37" t="s">
        <v>1480</v>
      </c>
      <c r="E16" s="37" t="s">
        <v>1646</v>
      </c>
      <c r="F16" s="37" t="s">
        <v>697</v>
      </c>
      <c r="G16" s="41">
        <f>VLOOKUP(F16,Pcode!A:B,2,FALSE)</f>
        <v>7</v>
      </c>
      <c r="H16" s="41" t="s">
        <v>1352</v>
      </c>
      <c r="I16" s="41">
        <f>VLOOKUP(H16,Pcode!C:D,2,FALSE)</f>
        <v>711</v>
      </c>
      <c r="J16" s="41" t="s">
        <v>613</v>
      </c>
      <c r="K16" s="143">
        <v>80</v>
      </c>
      <c r="L16" s="143">
        <f>K16*6</f>
        <v>480</v>
      </c>
      <c r="M16" s="46" t="s">
        <v>1728</v>
      </c>
      <c r="N16" s="48"/>
      <c r="O16" s="48"/>
      <c r="P16" s="48"/>
      <c r="Q16" s="48"/>
      <c r="R16" s="48">
        <v>80</v>
      </c>
      <c r="S16" s="48">
        <v>160</v>
      </c>
      <c r="T16" s="48">
        <v>160</v>
      </c>
      <c r="U16" s="48"/>
      <c r="V16" s="48">
        <v>80</v>
      </c>
      <c r="W16" s="48"/>
      <c r="X16" s="48"/>
      <c r="Y16" s="48"/>
      <c r="Z16" s="48"/>
      <c r="AA16" s="227" t="s">
        <v>1806</v>
      </c>
    </row>
    <row r="17" spans="1:27" s="156" customFormat="1" ht="12" customHeight="1" x14ac:dyDescent="0.25">
      <c r="A17" s="36">
        <v>41200</v>
      </c>
      <c r="B17" s="36">
        <v>41200</v>
      </c>
      <c r="C17" s="37" t="s">
        <v>1646</v>
      </c>
      <c r="D17" s="37" t="s">
        <v>1480</v>
      </c>
      <c r="E17" s="37" t="s">
        <v>1646</v>
      </c>
      <c r="F17" s="37" t="s">
        <v>697</v>
      </c>
      <c r="G17" s="41">
        <f>VLOOKUP(F17,Pcode!A:B,2,FALSE)</f>
        <v>7</v>
      </c>
      <c r="H17" s="41" t="s">
        <v>1352</v>
      </c>
      <c r="I17" s="41">
        <f>VLOOKUP(H17,Pcode!C:D,2,FALSE)</f>
        <v>711</v>
      </c>
      <c r="J17" s="41" t="s">
        <v>613</v>
      </c>
      <c r="K17" s="143">
        <v>80</v>
      </c>
      <c r="L17" s="143">
        <f>K17*6</f>
        <v>480</v>
      </c>
      <c r="M17" s="46" t="s">
        <v>1728</v>
      </c>
      <c r="N17" s="48"/>
      <c r="O17" s="48"/>
      <c r="P17" s="48"/>
      <c r="Q17" s="48"/>
      <c r="R17" s="48">
        <v>80</v>
      </c>
      <c r="S17" s="48">
        <v>160</v>
      </c>
      <c r="T17" s="48">
        <v>160</v>
      </c>
      <c r="U17" s="48"/>
      <c r="V17" s="48">
        <v>80</v>
      </c>
      <c r="W17" s="48"/>
      <c r="X17" s="48"/>
      <c r="Y17" s="48"/>
      <c r="Z17" s="48"/>
      <c r="AA17" s="227" t="s">
        <v>1806</v>
      </c>
    </row>
    <row r="18" spans="1:27" s="42" customFormat="1" ht="12" customHeight="1" x14ac:dyDescent="0.25">
      <c r="A18" s="44" t="s">
        <v>1652</v>
      </c>
      <c r="B18" s="44" t="s">
        <v>1652</v>
      </c>
      <c r="C18" s="37" t="s">
        <v>1599</v>
      </c>
      <c r="D18" s="37" t="s">
        <v>1480</v>
      </c>
      <c r="E18" s="37" t="s">
        <v>1599</v>
      </c>
      <c r="F18" s="132" t="s">
        <v>1464</v>
      </c>
      <c r="G18" s="41">
        <f>VLOOKUP(F18,Pcode!A:B,2,FALSE)</f>
        <v>6</v>
      </c>
      <c r="H18" s="41" t="s">
        <v>797</v>
      </c>
      <c r="I18" s="41">
        <f>VLOOKUP(H18,Pcode!C:D,2,FALSE)</f>
        <v>613</v>
      </c>
      <c r="J18" s="41" t="s">
        <v>537</v>
      </c>
      <c r="K18" s="47">
        <v>180</v>
      </c>
      <c r="L18" s="47">
        <v>1080</v>
      </c>
      <c r="M18" s="46" t="s">
        <v>1728</v>
      </c>
      <c r="N18" s="51"/>
      <c r="O18" s="51"/>
      <c r="P18" s="51"/>
      <c r="Q18" s="51"/>
      <c r="R18" s="48">
        <v>280</v>
      </c>
      <c r="S18" s="48">
        <v>560</v>
      </c>
      <c r="T18" s="48">
        <v>560</v>
      </c>
      <c r="U18" s="48"/>
      <c r="V18" s="48">
        <v>280</v>
      </c>
      <c r="W18" s="48"/>
      <c r="X18" s="48"/>
      <c r="Y18" s="48"/>
      <c r="Z18" s="48"/>
      <c r="AA18" s="227" t="s">
        <v>1806</v>
      </c>
    </row>
    <row r="19" spans="1:27" s="42" customFormat="1" ht="12" customHeight="1" x14ac:dyDescent="0.25">
      <c r="A19" s="44" t="s">
        <v>1652</v>
      </c>
      <c r="B19" s="44" t="s">
        <v>1652</v>
      </c>
      <c r="C19" s="37" t="s">
        <v>1599</v>
      </c>
      <c r="D19" s="37" t="s">
        <v>1480</v>
      </c>
      <c r="E19" s="37" t="s">
        <v>1599</v>
      </c>
      <c r="F19" s="132" t="s">
        <v>1464</v>
      </c>
      <c r="G19" s="41">
        <f>VLOOKUP(F19,Pcode!A:B,2,FALSE)</f>
        <v>6</v>
      </c>
      <c r="H19" s="41" t="s">
        <v>798</v>
      </c>
      <c r="I19" s="41">
        <f>VLOOKUP(H19,Pcode!C:D,2,FALSE)</f>
        <v>616</v>
      </c>
      <c r="J19" s="41" t="s">
        <v>586</v>
      </c>
      <c r="K19" s="47">
        <v>198</v>
      </c>
      <c r="L19" s="47">
        <v>1188</v>
      </c>
      <c r="M19" s="46" t="s">
        <v>1728</v>
      </c>
      <c r="N19" s="51"/>
      <c r="O19" s="51"/>
      <c r="P19" s="51"/>
      <c r="Q19" s="51"/>
      <c r="R19" s="48">
        <v>300</v>
      </c>
      <c r="S19" s="48">
        <v>600</v>
      </c>
      <c r="T19" s="48">
        <v>600</v>
      </c>
      <c r="U19" s="48"/>
      <c r="V19" s="48">
        <v>300</v>
      </c>
      <c r="W19" s="48"/>
      <c r="X19" s="48"/>
      <c r="Y19" s="48"/>
      <c r="Z19" s="48"/>
      <c r="AA19" s="227" t="s">
        <v>1806</v>
      </c>
    </row>
    <row r="20" spans="1:27" s="42" customFormat="1" ht="12" customHeight="1" x14ac:dyDescent="0.25">
      <c r="A20" s="45" t="s">
        <v>1653</v>
      </c>
      <c r="B20" s="45" t="s">
        <v>1653</v>
      </c>
      <c r="C20" s="37" t="s">
        <v>1599</v>
      </c>
      <c r="D20" s="37" t="s">
        <v>1480</v>
      </c>
      <c r="E20" s="37" t="s">
        <v>1599</v>
      </c>
      <c r="F20" s="132" t="s">
        <v>1464</v>
      </c>
      <c r="G20" s="41">
        <f>VLOOKUP(F20,Pcode!A:B,2,FALSE)</f>
        <v>6</v>
      </c>
      <c r="H20" s="41" t="s">
        <v>801</v>
      </c>
      <c r="I20" s="41">
        <f>VLOOKUP(H20,Pcode!C:D,2,FALSE)</f>
        <v>612</v>
      </c>
      <c r="J20" s="41" t="s">
        <v>536</v>
      </c>
      <c r="K20" s="47">
        <v>152</v>
      </c>
      <c r="L20" s="47">
        <v>912</v>
      </c>
      <c r="M20" s="46" t="s">
        <v>1728</v>
      </c>
      <c r="N20" s="51"/>
      <c r="O20" s="51"/>
      <c r="P20" s="51"/>
      <c r="Q20" s="51"/>
      <c r="R20" s="48">
        <v>150</v>
      </c>
      <c r="S20" s="48">
        <v>300</v>
      </c>
      <c r="T20" s="48">
        <v>300</v>
      </c>
      <c r="U20" s="48"/>
      <c r="V20" s="48">
        <v>150</v>
      </c>
      <c r="W20" s="48"/>
      <c r="X20" s="48"/>
      <c r="Y20" s="48"/>
      <c r="Z20" s="48"/>
      <c r="AA20" s="227" t="s">
        <v>1806</v>
      </c>
    </row>
    <row r="21" spans="1:27" s="42" customFormat="1" ht="12" customHeight="1" x14ac:dyDescent="0.25">
      <c r="A21" s="45" t="s">
        <v>1653</v>
      </c>
      <c r="B21" s="45" t="s">
        <v>1653</v>
      </c>
      <c r="C21" s="37" t="s">
        <v>1599</v>
      </c>
      <c r="D21" s="37" t="s">
        <v>1480</v>
      </c>
      <c r="E21" s="37" t="s">
        <v>1599</v>
      </c>
      <c r="F21" s="132" t="s">
        <v>1464</v>
      </c>
      <c r="G21" s="41">
        <f>VLOOKUP(F21,Pcode!A:B,2,FALSE)</f>
        <v>6</v>
      </c>
      <c r="H21" s="41" t="s">
        <v>802</v>
      </c>
      <c r="I21" s="41">
        <f>VLOOKUP(H21,Pcode!C:D,2,FALSE)</f>
        <v>614</v>
      </c>
      <c r="J21" s="41" t="s">
        <v>559</v>
      </c>
      <c r="K21" s="47">
        <v>171</v>
      </c>
      <c r="L21" s="47">
        <v>1026</v>
      </c>
      <c r="M21" s="46" t="s">
        <v>1728</v>
      </c>
      <c r="N21" s="51"/>
      <c r="O21" s="51"/>
      <c r="P21" s="51"/>
      <c r="Q21" s="51"/>
      <c r="R21" s="48">
        <v>150</v>
      </c>
      <c r="S21" s="48">
        <v>300</v>
      </c>
      <c r="T21" s="48">
        <v>300</v>
      </c>
      <c r="U21" s="48"/>
      <c r="V21" s="48">
        <v>150</v>
      </c>
      <c r="W21" s="48"/>
      <c r="X21" s="48"/>
      <c r="Y21" s="48"/>
      <c r="Z21" s="48"/>
      <c r="AA21" s="227" t="s">
        <v>1806</v>
      </c>
    </row>
    <row r="22" spans="1:27" s="42" customFormat="1" ht="12" customHeight="1" x14ac:dyDescent="0.25">
      <c r="A22" s="45" t="s">
        <v>1653</v>
      </c>
      <c r="B22" s="45" t="s">
        <v>1653</v>
      </c>
      <c r="C22" s="37" t="s">
        <v>1599</v>
      </c>
      <c r="D22" s="37" t="s">
        <v>1480</v>
      </c>
      <c r="E22" s="37" t="s">
        <v>1599</v>
      </c>
      <c r="F22" s="132" t="s">
        <v>1464</v>
      </c>
      <c r="G22" s="41">
        <f>VLOOKUP(F22,Pcode!A:B,2,FALSE)</f>
        <v>6</v>
      </c>
      <c r="H22" s="41" t="s">
        <v>1460</v>
      </c>
      <c r="I22" s="41">
        <f>VLOOKUP(H22,Pcode!C:D,2,FALSE)</f>
        <v>611</v>
      </c>
      <c r="J22" s="41" t="s">
        <v>515</v>
      </c>
      <c r="K22" s="47">
        <v>301</v>
      </c>
      <c r="L22" s="47">
        <f>K22*6</f>
        <v>1806</v>
      </c>
      <c r="M22" s="46" t="s">
        <v>1728</v>
      </c>
      <c r="N22" s="51"/>
      <c r="O22" s="51"/>
      <c r="P22" s="51"/>
      <c r="Q22" s="51"/>
      <c r="R22" s="48">
        <v>180</v>
      </c>
      <c r="S22" s="48">
        <v>360</v>
      </c>
      <c r="T22" s="48">
        <v>360</v>
      </c>
      <c r="U22" s="48"/>
      <c r="V22" s="48">
        <v>180</v>
      </c>
      <c r="W22" s="48"/>
      <c r="X22" s="48"/>
      <c r="Y22" s="48"/>
      <c r="Z22" s="48"/>
      <c r="AA22" s="227" t="s">
        <v>1806</v>
      </c>
    </row>
    <row r="23" spans="1:27" s="42" customFormat="1" ht="12" customHeight="1" x14ac:dyDescent="0.25">
      <c r="A23" s="36">
        <v>41040</v>
      </c>
      <c r="B23" s="36">
        <v>41040</v>
      </c>
      <c r="C23" s="37" t="s">
        <v>1798</v>
      </c>
      <c r="D23" s="37" t="s">
        <v>1646</v>
      </c>
      <c r="E23" s="37" t="s">
        <v>1798</v>
      </c>
      <c r="F23" s="132" t="s">
        <v>1464</v>
      </c>
      <c r="G23" s="41">
        <f>VLOOKUP(F23,Pcode!A:B,2,FALSE)</f>
        <v>6</v>
      </c>
      <c r="H23" s="41" t="s">
        <v>1460</v>
      </c>
      <c r="I23" s="41">
        <f>VLOOKUP(H23,Pcode!C:D,2,FALSE)</f>
        <v>611</v>
      </c>
      <c r="J23" s="41" t="s">
        <v>515</v>
      </c>
      <c r="K23" s="143">
        <f>290/2</f>
        <v>145</v>
      </c>
      <c r="L23" s="143">
        <f>K23*7</f>
        <v>1015</v>
      </c>
      <c r="M23" s="46" t="s">
        <v>1728</v>
      </c>
      <c r="N23" s="48"/>
      <c r="O23" s="48"/>
      <c r="P23" s="48"/>
      <c r="Q23" s="48"/>
      <c r="R23" s="48"/>
      <c r="S23" s="48">
        <v>290</v>
      </c>
      <c r="T23" s="48"/>
      <c r="U23" s="48"/>
      <c r="V23" s="48"/>
      <c r="W23" s="48"/>
      <c r="X23" s="48"/>
      <c r="Y23" s="48"/>
      <c r="Z23" s="48"/>
      <c r="AA23" s="228"/>
    </row>
    <row r="24" spans="1:27" s="42" customFormat="1" ht="12" customHeight="1" x14ac:dyDescent="0.25">
      <c r="A24" s="36" t="s">
        <v>1707</v>
      </c>
      <c r="B24" s="36">
        <v>41486</v>
      </c>
      <c r="C24" s="37" t="s">
        <v>1798</v>
      </c>
      <c r="D24" s="37" t="s">
        <v>1645</v>
      </c>
      <c r="E24" s="37" t="s">
        <v>1798</v>
      </c>
      <c r="F24" s="132" t="s">
        <v>1464</v>
      </c>
      <c r="G24" s="41">
        <f>VLOOKUP(F24,Pcode!A:B,2,FALSE)</f>
        <v>6</v>
      </c>
      <c r="H24" s="41" t="s">
        <v>1460</v>
      </c>
      <c r="I24" s="41">
        <f>VLOOKUP(H24,Pcode!C:D,2,FALSE)</f>
        <v>611</v>
      </c>
      <c r="J24" s="41" t="s">
        <v>515</v>
      </c>
      <c r="K24" s="47">
        <v>283</v>
      </c>
      <c r="L24" s="47">
        <v>1676</v>
      </c>
      <c r="M24" s="46" t="s">
        <v>1728</v>
      </c>
      <c r="N24" s="51"/>
      <c r="O24" s="51"/>
      <c r="P24" s="51"/>
      <c r="Q24" s="51"/>
      <c r="R24" s="48">
        <v>600</v>
      </c>
      <c r="S24" s="48">
        <v>1800</v>
      </c>
      <c r="T24" s="48">
        <v>3600</v>
      </c>
      <c r="U24" s="48"/>
      <c r="V24" s="48">
        <v>600</v>
      </c>
      <c r="W24" s="48"/>
      <c r="X24" s="48"/>
      <c r="Y24" s="48"/>
      <c r="Z24" s="48"/>
      <c r="AA24" s="228" t="s">
        <v>1668</v>
      </c>
    </row>
    <row r="25" spans="1:27" s="42" customFormat="1" ht="12" customHeight="1" x14ac:dyDescent="0.25">
      <c r="A25" s="36" t="s">
        <v>1708</v>
      </c>
      <c r="B25" s="36">
        <v>41455</v>
      </c>
      <c r="C25" s="37" t="s">
        <v>1798</v>
      </c>
      <c r="D25" s="37" t="s">
        <v>1799</v>
      </c>
      <c r="E25" s="37" t="s">
        <v>1798</v>
      </c>
      <c r="F25" s="132" t="s">
        <v>1464</v>
      </c>
      <c r="G25" s="41">
        <f>VLOOKUP(F25,Pcode!A:B,2,FALSE)</f>
        <v>6</v>
      </c>
      <c r="H25" s="41" t="s">
        <v>1460</v>
      </c>
      <c r="I25" s="41">
        <f>VLOOKUP(H25,Pcode!C:D,2,FALSE)</f>
        <v>611</v>
      </c>
      <c r="J25" s="41" t="s">
        <v>513</v>
      </c>
      <c r="K25" s="47">
        <v>182</v>
      </c>
      <c r="L25" s="47">
        <v>1298</v>
      </c>
      <c r="M25" s="46" t="s">
        <v>1728</v>
      </c>
      <c r="N25" s="51"/>
      <c r="O25" s="51"/>
      <c r="P25" s="51"/>
      <c r="Q25" s="51"/>
      <c r="R25" s="48"/>
      <c r="S25" s="48">
        <v>849</v>
      </c>
      <c r="T25" s="48">
        <v>998</v>
      </c>
      <c r="U25" s="48"/>
      <c r="V25" s="48"/>
      <c r="W25" s="48"/>
      <c r="X25" s="48"/>
      <c r="Y25" s="48"/>
      <c r="Z25" s="48"/>
      <c r="AA25" s="228" t="s">
        <v>1667</v>
      </c>
    </row>
    <row r="26" spans="1:27" s="42" customFormat="1" ht="12" customHeight="1" x14ac:dyDescent="0.25">
      <c r="A26" s="36">
        <v>41243</v>
      </c>
      <c r="B26" s="36">
        <v>41261</v>
      </c>
      <c r="C26" s="37" t="s">
        <v>1798</v>
      </c>
      <c r="D26" s="37" t="s">
        <v>1719</v>
      </c>
      <c r="E26" s="37" t="s">
        <v>1798</v>
      </c>
      <c r="F26" s="132" t="s">
        <v>1464</v>
      </c>
      <c r="G26" s="41">
        <f>VLOOKUP(F26,Pcode!A:B,2,FALSE)</f>
        <v>6</v>
      </c>
      <c r="H26" s="41" t="s">
        <v>1460</v>
      </c>
      <c r="I26" s="41">
        <f>VLOOKUP(H26,Pcode!C:D,2,FALSE)</f>
        <v>611</v>
      </c>
      <c r="J26" s="41" t="s">
        <v>515</v>
      </c>
      <c r="K26" s="47">
        <v>2133</v>
      </c>
      <c r="L26" s="47">
        <v>17064</v>
      </c>
      <c r="M26" s="46" t="s">
        <v>1728</v>
      </c>
      <c r="N26" s="51"/>
      <c r="O26" s="51"/>
      <c r="P26" s="51"/>
      <c r="Q26" s="51"/>
      <c r="R26" s="48"/>
      <c r="S26" s="48">
        <v>5916</v>
      </c>
      <c r="T26" s="48">
        <v>5916</v>
      </c>
      <c r="U26" s="48"/>
      <c r="V26" s="48"/>
      <c r="W26" s="48"/>
      <c r="X26" s="48"/>
      <c r="Y26" s="48"/>
      <c r="Z26" s="48"/>
      <c r="AA26" s="228" t="s">
        <v>1669</v>
      </c>
    </row>
    <row r="27" spans="1:27" s="42" customFormat="1" ht="12" customHeight="1" x14ac:dyDescent="0.25">
      <c r="A27" s="45">
        <v>41066</v>
      </c>
      <c r="B27" s="45">
        <v>41066</v>
      </c>
      <c r="C27" s="37" t="s">
        <v>1798</v>
      </c>
      <c r="D27" s="37" t="s">
        <v>1634</v>
      </c>
      <c r="E27" s="37" t="s">
        <v>1798</v>
      </c>
      <c r="F27" s="132" t="s">
        <v>693</v>
      </c>
      <c r="G27" s="41">
        <f>VLOOKUP(F27,Pcode!A:B,2,FALSE)</f>
        <v>1</v>
      </c>
      <c r="H27" s="41" t="s">
        <v>772</v>
      </c>
      <c r="I27" s="41">
        <f>VLOOKUP(H27,Pcode!C:D,2,FALSE)</f>
        <v>111</v>
      </c>
      <c r="J27" s="41" t="s">
        <v>1658</v>
      </c>
      <c r="K27" s="143">
        <v>43</v>
      </c>
      <c r="L27" s="143">
        <f>K27*7</f>
        <v>301</v>
      </c>
      <c r="M27" s="46" t="s">
        <v>1728</v>
      </c>
      <c r="N27" s="48"/>
      <c r="O27" s="48"/>
      <c r="P27" s="51"/>
      <c r="Q27" s="48"/>
      <c r="R27" s="48"/>
      <c r="S27" s="48">
        <v>85</v>
      </c>
      <c r="T27" s="48"/>
      <c r="U27" s="48"/>
      <c r="V27" s="48"/>
      <c r="W27" s="48"/>
      <c r="X27" s="48"/>
      <c r="Y27" s="48"/>
      <c r="Z27" s="48"/>
      <c r="AA27" s="228"/>
    </row>
    <row r="28" spans="1:27" s="42" customFormat="1" ht="12" customHeight="1" x14ac:dyDescent="0.25">
      <c r="A28" s="36">
        <v>41094</v>
      </c>
      <c r="B28" s="36">
        <v>41094</v>
      </c>
      <c r="C28" s="37" t="s">
        <v>1798</v>
      </c>
      <c r="D28" s="37" t="s">
        <v>1634</v>
      </c>
      <c r="E28" s="37" t="s">
        <v>1798</v>
      </c>
      <c r="F28" s="132" t="s">
        <v>699</v>
      </c>
      <c r="G28" s="41">
        <f>VLOOKUP(F28,Pcode!A:B,2,FALSE)</f>
        <v>9</v>
      </c>
      <c r="H28" s="41" t="s">
        <v>1431</v>
      </c>
      <c r="I28" s="41">
        <f>VLOOKUP(H28,Pcode!C:D,2,FALSE)</f>
        <v>911</v>
      </c>
      <c r="J28" s="41" t="s">
        <v>684</v>
      </c>
      <c r="K28" s="143">
        <v>111</v>
      </c>
      <c r="L28" s="143">
        <f>K28*7</f>
        <v>777</v>
      </c>
      <c r="M28" s="46" t="s">
        <v>1728</v>
      </c>
      <c r="N28" s="51"/>
      <c r="O28" s="51"/>
      <c r="P28" s="51"/>
      <c r="Q28" s="51"/>
      <c r="R28" s="48"/>
      <c r="S28" s="48">
        <v>222</v>
      </c>
      <c r="T28" s="48"/>
      <c r="U28" s="48"/>
      <c r="V28" s="48"/>
      <c r="W28" s="48"/>
      <c r="X28" s="48"/>
      <c r="Y28" s="48"/>
      <c r="Z28" s="48"/>
      <c r="AA28" s="228"/>
    </row>
    <row r="29" spans="1:27" s="42" customFormat="1" ht="12" customHeight="1" x14ac:dyDescent="0.25">
      <c r="A29" s="36">
        <v>41118</v>
      </c>
      <c r="B29" s="36">
        <v>41118</v>
      </c>
      <c r="C29" s="37" t="s">
        <v>1798</v>
      </c>
      <c r="D29" s="37"/>
      <c r="E29" s="37" t="s">
        <v>1798</v>
      </c>
      <c r="F29" s="132" t="s">
        <v>698</v>
      </c>
      <c r="G29" s="41">
        <f>VLOOKUP(F29,Pcode!A:B,2,FALSE)</f>
        <v>8</v>
      </c>
      <c r="H29" s="41" t="s">
        <v>1406</v>
      </c>
      <c r="I29" s="41">
        <f>VLOOKUP(H29,Pcode!C:D,2,FALSE)</f>
        <v>811</v>
      </c>
      <c r="J29" s="41" t="s">
        <v>665</v>
      </c>
      <c r="K29" s="143">
        <v>75</v>
      </c>
      <c r="L29" s="143">
        <f>K29*7</f>
        <v>525</v>
      </c>
      <c r="M29" s="46" t="s">
        <v>1728</v>
      </c>
      <c r="N29" s="51"/>
      <c r="O29" s="51"/>
      <c r="P29" s="51"/>
      <c r="Q29" s="51"/>
      <c r="R29" s="48"/>
      <c r="S29" s="48">
        <v>150</v>
      </c>
      <c r="T29" s="48"/>
      <c r="U29" s="48"/>
      <c r="V29" s="48"/>
      <c r="W29" s="48"/>
      <c r="X29" s="48"/>
      <c r="Y29" s="48"/>
      <c r="Z29" s="48"/>
      <c r="AA29" s="228"/>
    </row>
    <row r="30" spans="1:27" s="42" customFormat="1" ht="12" customHeight="1" x14ac:dyDescent="0.25">
      <c r="A30" s="39">
        <v>41032</v>
      </c>
      <c r="B30" s="39">
        <v>41032</v>
      </c>
      <c r="C30" s="37" t="s">
        <v>1584</v>
      </c>
      <c r="D30" s="37" t="s">
        <v>1634</v>
      </c>
      <c r="E30" s="37" t="s">
        <v>1584</v>
      </c>
      <c r="F30" s="132" t="s">
        <v>1464</v>
      </c>
      <c r="G30" s="134">
        <f>VLOOKUP(F30,Pcode!A:B,2,FALSE)</f>
        <v>6</v>
      </c>
      <c r="H30" s="134" t="s">
        <v>1460</v>
      </c>
      <c r="I30" s="134">
        <f>VLOOKUP(H30,Pcode!C:D,2,FALSE)</f>
        <v>611</v>
      </c>
      <c r="J30" s="134" t="s">
        <v>515</v>
      </c>
      <c r="K30" s="48">
        <v>12</v>
      </c>
      <c r="L30" s="48">
        <v>152</v>
      </c>
      <c r="M30" s="155" t="s">
        <v>1728</v>
      </c>
      <c r="N30" s="51"/>
      <c r="O30" s="51"/>
      <c r="P30" s="51"/>
      <c r="Q30" s="51"/>
      <c r="R30" s="48"/>
      <c r="S30" s="48">
        <v>36</v>
      </c>
      <c r="T30" s="48">
        <v>36</v>
      </c>
      <c r="U30" s="48"/>
      <c r="V30" s="48">
        <v>12</v>
      </c>
      <c r="W30" s="48"/>
      <c r="X30" s="48"/>
      <c r="Y30" s="48">
        <v>36</v>
      </c>
      <c r="Z30" s="48"/>
      <c r="AA30" s="229" t="s">
        <v>1670</v>
      </c>
    </row>
    <row r="31" spans="1:27" s="42" customFormat="1" ht="12" customHeight="1" x14ac:dyDescent="0.25">
      <c r="A31" s="39">
        <v>41033</v>
      </c>
      <c r="B31" s="39">
        <v>41033</v>
      </c>
      <c r="C31" s="37" t="s">
        <v>1584</v>
      </c>
      <c r="D31" s="37" t="s">
        <v>1634</v>
      </c>
      <c r="E31" s="37" t="s">
        <v>1584</v>
      </c>
      <c r="F31" s="132" t="s">
        <v>1464</v>
      </c>
      <c r="G31" s="134">
        <f>VLOOKUP(F31,Pcode!A:B,2,FALSE)</f>
        <v>6</v>
      </c>
      <c r="H31" s="134" t="s">
        <v>1460</v>
      </c>
      <c r="I31" s="134">
        <f>VLOOKUP(H31,Pcode!C:D,2,FALSE)</f>
        <v>611</v>
      </c>
      <c r="J31" s="134" t="s">
        <v>515</v>
      </c>
      <c r="K31" s="48">
        <v>12</v>
      </c>
      <c r="L31" s="48">
        <v>127</v>
      </c>
      <c r="M31" s="155" t="s">
        <v>1728</v>
      </c>
      <c r="N31" s="51"/>
      <c r="O31" s="51"/>
      <c r="P31" s="51"/>
      <c r="Q31" s="51"/>
      <c r="R31" s="48"/>
      <c r="S31" s="48">
        <v>36</v>
      </c>
      <c r="T31" s="48">
        <v>36</v>
      </c>
      <c r="U31" s="48"/>
      <c r="V31" s="48">
        <v>12</v>
      </c>
      <c r="W31" s="48"/>
      <c r="X31" s="48"/>
      <c r="Y31" s="48">
        <v>36</v>
      </c>
      <c r="Z31" s="48"/>
      <c r="AA31" s="229" t="s">
        <v>1671</v>
      </c>
    </row>
    <row r="32" spans="1:27" s="42" customFormat="1" ht="12" customHeight="1" x14ac:dyDescent="0.25">
      <c r="A32" s="38">
        <v>41036</v>
      </c>
      <c r="B32" s="38">
        <v>41036</v>
      </c>
      <c r="C32" s="37" t="s">
        <v>1584</v>
      </c>
      <c r="D32" s="37" t="s">
        <v>1634</v>
      </c>
      <c r="E32" s="37" t="s">
        <v>1584</v>
      </c>
      <c r="F32" s="132" t="s">
        <v>1464</v>
      </c>
      <c r="G32" s="134">
        <f>VLOOKUP(F32,Pcode!A:B,2,FALSE)</f>
        <v>6</v>
      </c>
      <c r="H32" s="134" t="s">
        <v>1460</v>
      </c>
      <c r="I32" s="134">
        <f>VLOOKUP(H32,Pcode!C:D,2,FALSE)</f>
        <v>611</v>
      </c>
      <c r="J32" s="134" t="s">
        <v>515</v>
      </c>
      <c r="K32" s="48">
        <v>24</v>
      </c>
      <c r="L32" s="48">
        <v>223</v>
      </c>
      <c r="M32" s="155" t="s">
        <v>1728</v>
      </c>
      <c r="N32" s="51"/>
      <c r="O32" s="51"/>
      <c r="P32" s="51"/>
      <c r="Q32" s="51"/>
      <c r="R32" s="48"/>
      <c r="S32" s="48">
        <v>72</v>
      </c>
      <c r="T32" s="48">
        <v>72</v>
      </c>
      <c r="U32" s="48"/>
      <c r="V32" s="48">
        <v>24</v>
      </c>
      <c r="W32" s="48"/>
      <c r="X32" s="48"/>
      <c r="Y32" s="48">
        <v>72</v>
      </c>
      <c r="Z32" s="48"/>
      <c r="AA32" s="229" t="s">
        <v>1672</v>
      </c>
    </row>
    <row r="33" spans="1:27" s="42" customFormat="1" ht="12" customHeight="1" x14ac:dyDescent="0.25">
      <c r="A33" s="38">
        <v>41037</v>
      </c>
      <c r="B33" s="38">
        <v>41037</v>
      </c>
      <c r="C33" s="37" t="s">
        <v>1584</v>
      </c>
      <c r="D33" s="37" t="s">
        <v>1634</v>
      </c>
      <c r="E33" s="37" t="s">
        <v>1584</v>
      </c>
      <c r="F33" s="132" t="s">
        <v>1464</v>
      </c>
      <c r="G33" s="134">
        <f>VLOOKUP(F33,Pcode!A:B,2,FALSE)</f>
        <v>6</v>
      </c>
      <c r="H33" s="134" t="s">
        <v>1460</v>
      </c>
      <c r="I33" s="134">
        <f>VLOOKUP(H33,Pcode!C:D,2,FALSE)</f>
        <v>611</v>
      </c>
      <c r="J33" s="134" t="s">
        <v>515</v>
      </c>
      <c r="K33" s="48">
        <v>25</v>
      </c>
      <c r="L33" s="48">
        <v>294</v>
      </c>
      <c r="M33" s="155" t="s">
        <v>1728</v>
      </c>
      <c r="N33" s="51"/>
      <c r="O33" s="51"/>
      <c r="P33" s="51"/>
      <c r="Q33" s="51"/>
      <c r="R33" s="48"/>
      <c r="S33" s="48">
        <v>75</v>
      </c>
      <c r="T33" s="48">
        <v>75</v>
      </c>
      <c r="U33" s="48"/>
      <c r="V33" s="48">
        <v>25</v>
      </c>
      <c r="W33" s="48"/>
      <c r="X33" s="48"/>
      <c r="Y33" s="48">
        <v>75</v>
      </c>
      <c r="Z33" s="48"/>
      <c r="AA33" s="229" t="s">
        <v>1673</v>
      </c>
    </row>
    <row r="34" spans="1:27" s="42" customFormat="1" ht="12" customHeight="1" x14ac:dyDescent="0.25">
      <c r="A34" s="38">
        <v>41038</v>
      </c>
      <c r="B34" s="38">
        <v>41038</v>
      </c>
      <c r="C34" s="37" t="s">
        <v>1584</v>
      </c>
      <c r="D34" s="37" t="s">
        <v>1634</v>
      </c>
      <c r="E34" s="37" t="s">
        <v>1584</v>
      </c>
      <c r="F34" s="132" t="s">
        <v>1464</v>
      </c>
      <c r="G34" s="134">
        <f>VLOOKUP(F34,Pcode!A:B,2,FALSE)</f>
        <v>6</v>
      </c>
      <c r="H34" s="134" t="s">
        <v>1460</v>
      </c>
      <c r="I34" s="134">
        <f>VLOOKUP(H34,Pcode!C:D,2,FALSE)</f>
        <v>611</v>
      </c>
      <c r="J34" s="134" t="s">
        <v>515</v>
      </c>
      <c r="K34" s="48">
        <v>44</v>
      </c>
      <c r="L34" s="48">
        <v>261</v>
      </c>
      <c r="M34" s="155" t="s">
        <v>1728</v>
      </c>
      <c r="N34" s="51"/>
      <c r="O34" s="51"/>
      <c r="P34" s="51"/>
      <c r="Q34" s="51"/>
      <c r="R34" s="48"/>
      <c r="S34" s="48">
        <v>132</v>
      </c>
      <c r="T34" s="48">
        <v>132</v>
      </c>
      <c r="U34" s="48"/>
      <c r="V34" s="48">
        <v>44</v>
      </c>
      <c r="W34" s="48"/>
      <c r="X34" s="48"/>
      <c r="Y34" s="48">
        <v>132</v>
      </c>
      <c r="Z34" s="48"/>
      <c r="AA34" s="229" t="s">
        <v>1674</v>
      </c>
    </row>
    <row r="35" spans="1:27" s="42" customFormat="1" ht="12" customHeight="1" x14ac:dyDescent="0.25">
      <c r="A35" s="38">
        <v>41039</v>
      </c>
      <c r="B35" s="38">
        <v>41039</v>
      </c>
      <c r="C35" s="37" t="s">
        <v>1584</v>
      </c>
      <c r="D35" s="37" t="s">
        <v>1634</v>
      </c>
      <c r="E35" s="37" t="s">
        <v>1584</v>
      </c>
      <c r="F35" s="132" t="s">
        <v>1464</v>
      </c>
      <c r="G35" s="134">
        <f>VLOOKUP(F35,Pcode!A:B,2,FALSE)</f>
        <v>6</v>
      </c>
      <c r="H35" s="134" t="s">
        <v>1460</v>
      </c>
      <c r="I35" s="134">
        <f>VLOOKUP(H35,Pcode!C:D,2,FALSE)</f>
        <v>611</v>
      </c>
      <c r="J35" s="134" t="s">
        <v>515</v>
      </c>
      <c r="K35" s="48">
        <v>46</v>
      </c>
      <c r="L35" s="48">
        <v>402</v>
      </c>
      <c r="M35" s="155" t="s">
        <v>1728</v>
      </c>
      <c r="N35" s="51"/>
      <c r="O35" s="51"/>
      <c r="P35" s="51"/>
      <c r="Q35" s="51"/>
      <c r="R35" s="48"/>
      <c r="S35" s="48">
        <v>138</v>
      </c>
      <c r="T35" s="48">
        <v>138</v>
      </c>
      <c r="U35" s="48"/>
      <c r="V35" s="48">
        <v>46</v>
      </c>
      <c r="W35" s="48"/>
      <c r="X35" s="48"/>
      <c r="Y35" s="48">
        <v>138</v>
      </c>
      <c r="Z35" s="48"/>
      <c r="AA35" s="229" t="s">
        <v>1675</v>
      </c>
    </row>
    <row r="36" spans="1:27" s="42" customFormat="1" ht="12" customHeight="1" x14ac:dyDescent="0.25">
      <c r="A36" s="38">
        <v>41048</v>
      </c>
      <c r="B36" s="38">
        <v>41048</v>
      </c>
      <c r="C36" s="37" t="s">
        <v>1584</v>
      </c>
      <c r="D36" s="37" t="s">
        <v>1634</v>
      </c>
      <c r="E36" s="37" t="s">
        <v>1584</v>
      </c>
      <c r="F36" s="132" t="s">
        <v>1464</v>
      </c>
      <c r="G36" s="41">
        <f>VLOOKUP(F36,Pcode!A:B,2,FALSE)</f>
        <v>6</v>
      </c>
      <c r="H36" s="41" t="s">
        <v>1460</v>
      </c>
      <c r="I36" s="41">
        <f>VLOOKUP(H36,Pcode!C:D,2,FALSE)</f>
        <v>611</v>
      </c>
      <c r="J36" s="41" t="s">
        <v>515</v>
      </c>
      <c r="K36" s="48">
        <v>37</v>
      </c>
      <c r="L36" s="48">
        <v>285</v>
      </c>
      <c r="M36" s="46" t="s">
        <v>1728</v>
      </c>
      <c r="N36" s="51"/>
      <c r="O36" s="51"/>
      <c r="P36" s="51"/>
      <c r="Q36" s="51"/>
      <c r="R36" s="48"/>
      <c r="S36" s="48">
        <v>111</v>
      </c>
      <c r="T36" s="48">
        <v>111</v>
      </c>
      <c r="U36" s="48"/>
      <c r="V36" s="48">
        <v>37</v>
      </c>
      <c r="W36" s="48"/>
      <c r="X36" s="48"/>
      <c r="Y36" s="48">
        <v>111</v>
      </c>
      <c r="Z36" s="48"/>
      <c r="AA36" s="229" t="s">
        <v>1676</v>
      </c>
    </row>
    <row r="37" spans="1:27" s="42" customFormat="1" ht="12" customHeight="1" x14ac:dyDescent="0.25">
      <c r="A37" s="38">
        <v>41060</v>
      </c>
      <c r="B37" s="38">
        <v>41060</v>
      </c>
      <c r="C37" s="37" t="s">
        <v>1584</v>
      </c>
      <c r="D37" s="37" t="s">
        <v>1634</v>
      </c>
      <c r="E37" s="37" t="s">
        <v>1584</v>
      </c>
      <c r="F37" s="132" t="s">
        <v>1464</v>
      </c>
      <c r="G37" s="41">
        <f>VLOOKUP(F37,Pcode!A:B,2,FALSE)</f>
        <v>6</v>
      </c>
      <c r="H37" s="41" t="s">
        <v>1460</v>
      </c>
      <c r="I37" s="41">
        <f>VLOOKUP(H37,Pcode!C:D,2,FALSE)</f>
        <v>611</v>
      </c>
      <c r="J37" s="41" t="s">
        <v>515</v>
      </c>
      <c r="K37" s="48"/>
      <c r="L37" s="48">
        <v>863</v>
      </c>
      <c r="M37" s="46" t="s">
        <v>1728</v>
      </c>
      <c r="N37" s="51"/>
      <c r="O37" s="51"/>
      <c r="P37" s="51"/>
      <c r="Q37" s="51"/>
      <c r="R37" s="48"/>
      <c r="S37" s="48">
        <v>0</v>
      </c>
      <c r="T37" s="48">
        <v>300</v>
      </c>
      <c r="U37" s="48"/>
      <c r="V37" s="48"/>
      <c r="W37" s="48"/>
      <c r="X37" s="48"/>
      <c r="Y37" s="48"/>
      <c r="Z37" s="48"/>
      <c r="AA37" s="229" t="s">
        <v>1677</v>
      </c>
    </row>
    <row r="38" spans="1:27" s="42" customFormat="1" ht="12" customHeight="1" x14ac:dyDescent="0.25">
      <c r="A38" s="38">
        <v>41066</v>
      </c>
      <c r="B38" s="38">
        <v>41066</v>
      </c>
      <c r="C38" s="37" t="s">
        <v>1584</v>
      </c>
      <c r="D38" s="37" t="s">
        <v>1634</v>
      </c>
      <c r="E38" s="37" t="s">
        <v>1584</v>
      </c>
      <c r="F38" s="132" t="s">
        <v>1464</v>
      </c>
      <c r="G38" s="41">
        <f>VLOOKUP(F38,Pcode!A:B,2,FALSE)</f>
        <v>6</v>
      </c>
      <c r="H38" s="41" t="s">
        <v>1460</v>
      </c>
      <c r="I38" s="41">
        <f>VLOOKUP(H38,Pcode!C:D,2,FALSE)</f>
        <v>611</v>
      </c>
      <c r="J38" s="41" t="s">
        <v>515</v>
      </c>
      <c r="K38" s="48">
        <v>35</v>
      </c>
      <c r="L38" s="48">
        <v>510</v>
      </c>
      <c r="M38" s="46" t="s">
        <v>1728</v>
      </c>
      <c r="N38" s="51"/>
      <c r="O38" s="51"/>
      <c r="P38" s="51"/>
      <c r="Q38" s="51"/>
      <c r="R38" s="48"/>
      <c r="S38" s="48">
        <v>105</v>
      </c>
      <c r="T38" s="48">
        <v>105</v>
      </c>
      <c r="U38" s="48"/>
      <c r="V38" s="48">
        <v>35</v>
      </c>
      <c r="W38" s="48"/>
      <c r="X38" s="48"/>
      <c r="Y38" s="48">
        <v>105</v>
      </c>
      <c r="Z38" s="48"/>
      <c r="AA38" s="229" t="s">
        <v>1678</v>
      </c>
    </row>
    <row r="39" spans="1:27" s="42" customFormat="1" ht="12" customHeight="1" x14ac:dyDescent="0.25">
      <c r="A39" s="38">
        <v>41095</v>
      </c>
      <c r="B39" s="38">
        <v>41095</v>
      </c>
      <c r="C39" s="37" t="s">
        <v>1584</v>
      </c>
      <c r="D39" s="37" t="s">
        <v>1634</v>
      </c>
      <c r="E39" s="37" t="s">
        <v>1584</v>
      </c>
      <c r="F39" s="132" t="s">
        <v>1464</v>
      </c>
      <c r="G39" s="41">
        <f>VLOOKUP(F39,Pcode!A:B,2,FALSE)</f>
        <v>6</v>
      </c>
      <c r="H39" s="41" t="s">
        <v>1460</v>
      </c>
      <c r="I39" s="41">
        <f>VLOOKUP(H39,Pcode!C:D,2,FALSE)</f>
        <v>611</v>
      </c>
      <c r="J39" s="41" t="s">
        <v>515</v>
      </c>
      <c r="K39" s="48"/>
      <c r="L39" s="48">
        <v>949</v>
      </c>
      <c r="M39" s="46" t="s">
        <v>1728</v>
      </c>
      <c r="N39" s="51"/>
      <c r="O39" s="51"/>
      <c r="P39" s="51"/>
      <c r="Q39" s="51"/>
      <c r="R39" s="48"/>
      <c r="S39" s="48">
        <v>90</v>
      </c>
      <c r="T39" s="48">
        <v>600</v>
      </c>
      <c r="U39" s="48"/>
      <c r="V39" s="48"/>
      <c r="W39" s="48"/>
      <c r="X39" s="48"/>
      <c r="Y39" s="48"/>
      <c r="Z39" s="48"/>
      <c r="AA39" s="229" t="s">
        <v>1679</v>
      </c>
    </row>
    <row r="40" spans="1:27" s="42" customFormat="1" ht="12" customHeight="1" x14ac:dyDescent="0.25">
      <c r="A40" s="38">
        <v>41122</v>
      </c>
      <c r="B40" s="38">
        <v>41122</v>
      </c>
      <c r="C40" s="37" t="s">
        <v>1584</v>
      </c>
      <c r="D40" s="37" t="s">
        <v>1634</v>
      </c>
      <c r="E40" s="37" t="s">
        <v>1584</v>
      </c>
      <c r="F40" s="132" t="s">
        <v>1464</v>
      </c>
      <c r="G40" s="41">
        <f>VLOOKUP(F40,Pcode!A:B,2,FALSE)</f>
        <v>6</v>
      </c>
      <c r="H40" s="41" t="s">
        <v>1460</v>
      </c>
      <c r="I40" s="41">
        <f>VLOOKUP(H40,Pcode!C:D,2,FALSE)</f>
        <v>611</v>
      </c>
      <c r="J40" s="41" t="s">
        <v>515</v>
      </c>
      <c r="K40" s="48">
        <v>16</v>
      </c>
      <c r="L40" s="48">
        <v>668</v>
      </c>
      <c r="M40" s="46" t="s">
        <v>1728</v>
      </c>
      <c r="N40" s="51"/>
      <c r="O40" s="51"/>
      <c r="P40" s="51"/>
      <c r="Q40" s="51"/>
      <c r="R40" s="48"/>
      <c r="S40" s="48">
        <v>48</v>
      </c>
      <c r="T40" s="48">
        <v>48</v>
      </c>
      <c r="U40" s="48"/>
      <c r="V40" s="48">
        <v>16</v>
      </c>
      <c r="W40" s="48"/>
      <c r="X40" s="48"/>
      <c r="Y40" s="48">
        <v>48</v>
      </c>
      <c r="Z40" s="48"/>
      <c r="AA40" s="229" t="s">
        <v>1680</v>
      </c>
    </row>
    <row r="41" spans="1:27" s="42" customFormat="1" ht="12" customHeight="1" x14ac:dyDescent="0.25">
      <c r="A41" s="38">
        <v>41138</v>
      </c>
      <c r="B41" s="38">
        <v>41138</v>
      </c>
      <c r="C41" s="37" t="s">
        <v>1584</v>
      </c>
      <c r="D41" s="37" t="s">
        <v>1634</v>
      </c>
      <c r="E41" s="37" t="s">
        <v>1584</v>
      </c>
      <c r="F41" s="132" t="s">
        <v>1464</v>
      </c>
      <c r="G41" s="41">
        <f>VLOOKUP(F41,Pcode!A:B,2,FALSE)</f>
        <v>6</v>
      </c>
      <c r="H41" s="41" t="s">
        <v>1460</v>
      </c>
      <c r="I41" s="41">
        <f>VLOOKUP(H41,Pcode!C:D,2,FALSE)</f>
        <v>611</v>
      </c>
      <c r="J41" s="41" t="s">
        <v>515</v>
      </c>
      <c r="K41" s="48">
        <v>50</v>
      </c>
      <c r="L41" s="48"/>
      <c r="M41" s="46" t="s">
        <v>1728</v>
      </c>
      <c r="N41" s="51"/>
      <c r="O41" s="51"/>
      <c r="P41" s="51"/>
      <c r="Q41" s="51"/>
      <c r="R41" s="48"/>
      <c r="S41" s="48">
        <v>90</v>
      </c>
      <c r="T41" s="48">
        <v>1200</v>
      </c>
      <c r="U41" s="48"/>
      <c r="V41" s="48"/>
      <c r="W41" s="48"/>
      <c r="X41" s="48"/>
      <c r="Y41" s="48">
        <v>150</v>
      </c>
      <c r="Z41" s="48"/>
      <c r="AA41" s="229" t="s">
        <v>1681</v>
      </c>
    </row>
    <row r="42" spans="1:27" s="42" customFormat="1" ht="12" customHeight="1" x14ac:dyDescent="0.25">
      <c r="A42" s="38">
        <v>41150</v>
      </c>
      <c r="B42" s="38">
        <v>41150</v>
      </c>
      <c r="C42" s="37" t="s">
        <v>1584</v>
      </c>
      <c r="D42" s="37" t="s">
        <v>1634</v>
      </c>
      <c r="E42" s="37" t="s">
        <v>1584</v>
      </c>
      <c r="F42" s="132" t="s">
        <v>1464</v>
      </c>
      <c r="G42" s="41">
        <f>VLOOKUP(F42,Pcode!A:B,2,FALSE)</f>
        <v>6</v>
      </c>
      <c r="H42" s="41" t="s">
        <v>1460</v>
      </c>
      <c r="I42" s="41">
        <f>VLOOKUP(H42,Pcode!C:D,2,FALSE)</f>
        <v>611</v>
      </c>
      <c r="J42" s="41" t="s">
        <v>515</v>
      </c>
      <c r="K42" s="48">
        <v>98</v>
      </c>
      <c r="L42" s="48">
        <v>1076</v>
      </c>
      <c r="M42" s="46" t="s">
        <v>1728</v>
      </c>
      <c r="N42" s="51"/>
      <c r="O42" s="51"/>
      <c r="P42" s="51"/>
      <c r="Q42" s="51"/>
      <c r="R42" s="48"/>
      <c r="S42" s="48"/>
      <c r="T42" s="48">
        <v>294</v>
      </c>
      <c r="U42" s="48"/>
      <c r="V42" s="48"/>
      <c r="W42" s="48"/>
      <c r="X42" s="48"/>
      <c r="Y42" s="48">
        <v>294</v>
      </c>
      <c r="Z42" s="48"/>
      <c r="AA42" s="229" t="s">
        <v>1682</v>
      </c>
    </row>
    <row r="43" spans="1:27" s="42" customFormat="1" ht="12" customHeight="1" x14ac:dyDescent="0.25">
      <c r="A43" s="38">
        <v>41180</v>
      </c>
      <c r="B43" s="38">
        <v>41180</v>
      </c>
      <c r="C43" s="37" t="s">
        <v>1584</v>
      </c>
      <c r="D43" s="37" t="s">
        <v>1634</v>
      </c>
      <c r="E43" s="37" t="s">
        <v>1584</v>
      </c>
      <c r="F43" s="132" t="s">
        <v>1464</v>
      </c>
      <c r="G43" s="41">
        <f>VLOOKUP(F43,Pcode!A:B,2,FALSE)</f>
        <v>6</v>
      </c>
      <c r="H43" s="41" t="s">
        <v>1460</v>
      </c>
      <c r="I43" s="41">
        <f>VLOOKUP(H43,Pcode!C:D,2,FALSE)</f>
        <v>611</v>
      </c>
      <c r="J43" s="41" t="s">
        <v>515</v>
      </c>
      <c r="K43" s="48">
        <v>32</v>
      </c>
      <c r="L43" s="48">
        <v>818</v>
      </c>
      <c r="M43" s="46" t="s">
        <v>1728</v>
      </c>
      <c r="N43" s="51"/>
      <c r="O43" s="51"/>
      <c r="P43" s="51"/>
      <c r="Q43" s="51"/>
      <c r="R43" s="48"/>
      <c r="S43" s="48">
        <v>96</v>
      </c>
      <c r="T43" s="48">
        <v>96</v>
      </c>
      <c r="U43" s="48"/>
      <c r="V43" s="48">
        <v>32</v>
      </c>
      <c r="W43" s="48"/>
      <c r="X43" s="48"/>
      <c r="Y43" s="48">
        <v>96</v>
      </c>
      <c r="Z43" s="48"/>
      <c r="AA43" s="229" t="s">
        <v>1683</v>
      </c>
    </row>
    <row r="44" spans="1:27" s="42" customFormat="1" ht="12" customHeight="1" x14ac:dyDescent="0.25">
      <c r="A44" s="38">
        <v>41181</v>
      </c>
      <c r="B44" s="38">
        <v>41181</v>
      </c>
      <c r="C44" s="37" t="s">
        <v>1584</v>
      </c>
      <c r="D44" s="37" t="s">
        <v>1634</v>
      </c>
      <c r="E44" s="37" t="s">
        <v>1584</v>
      </c>
      <c r="F44" s="132" t="s">
        <v>1464</v>
      </c>
      <c r="G44" s="41">
        <f>VLOOKUP(F44,Pcode!A:B,2,FALSE)</f>
        <v>6</v>
      </c>
      <c r="H44" s="41" t="s">
        <v>1460</v>
      </c>
      <c r="I44" s="41">
        <f>VLOOKUP(H44,Pcode!C:D,2,FALSE)</f>
        <v>611</v>
      </c>
      <c r="J44" s="41" t="s">
        <v>515</v>
      </c>
      <c r="K44" s="48">
        <v>62</v>
      </c>
      <c r="L44" s="48">
        <v>1783</v>
      </c>
      <c r="M44" s="46" t="s">
        <v>1728</v>
      </c>
      <c r="N44" s="51"/>
      <c r="O44" s="51"/>
      <c r="P44" s="51"/>
      <c r="Q44" s="51"/>
      <c r="R44" s="48"/>
      <c r="S44" s="48">
        <v>186</v>
      </c>
      <c r="T44" s="48">
        <v>186</v>
      </c>
      <c r="U44" s="48"/>
      <c r="V44" s="48">
        <v>62</v>
      </c>
      <c r="W44" s="48"/>
      <c r="X44" s="48"/>
      <c r="Y44" s="48">
        <v>186</v>
      </c>
      <c r="Z44" s="48"/>
      <c r="AA44" s="229" t="s">
        <v>1684</v>
      </c>
    </row>
    <row r="45" spans="1:27" s="42" customFormat="1" ht="12" customHeight="1" x14ac:dyDescent="0.25">
      <c r="A45" s="36">
        <v>41013</v>
      </c>
      <c r="B45" s="36">
        <v>41013</v>
      </c>
      <c r="C45" s="37" t="s">
        <v>1635</v>
      </c>
      <c r="D45" s="37" t="s">
        <v>1635</v>
      </c>
      <c r="E45" s="37" t="s">
        <v>1635</v>
      </c>
      <c r="F45" s="132" t="s">
        <v>1464</v>
      </c>
      <c r="G45" s="41">
        <f>VLOOKUP(F45,Pcode!A:B,2,FALSE)</f>
        <v>6</v>
      </c>
      <c r="H45" s="41" t="s">
        <v>1460</v>
      </c>
      <c r="I45" s="41">
        <f>VLOOKUP(H45,Pcode!C:D,2,FALSE)</f>
        <v>611</v>
      </c>
      <c r="J45" s="41" t="s">
        <v>515</v>
      </c>
      <c r="K45" s="143">
        <v>7</v>
      </c>
      <c r="L45" s="143">
        <f>K45*6</f>
        <v>42</v>
      </c>
      <c r="M45" s="46" t="s">
        <v>1728</v>
      </c>
      <c r="N45" s="48">
        <v>7</v>
      </c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227" t="s">
        <v>1806</v>
      </c>
    </row>
    <row r="46" spans="1:27" s="42" customFormat="1" ht="12" customHeight="1" x14ac:dyDescent="0.25">
      <c r="A46" s="36">
        <v>41030</v>
      </c>
      <c r="B46" s="36">
        <v>41030</v>
      </c>
      <c r="C46" s="37" t="s">
        <v>1635</v>
      </c>
      <c r="D46" s="37" t="s">
        <v>1638</v>
      </c>
      <c r="E46" s="37" t="s">
        <v>1635</v>
      </c>
      <c r="F46" s="132" t="s">
        <v>1464</v>
      </c>
      <c r="G46" s="134">
        <f>VLOOKUP(F46,Pcode!A:B,2,FALSE)</f>
        <v>6</v>
      </c>
      <c r="H46" s="134" t="s">
        <v>1460</v>
      </c>
      <c r="I46" s="134">
        <f>VLOOKUP(H46,Pcode!C:D,2,FALSE)</f>
        <v>611</v>
      </c>
      <c r="J46" s="134" t="s">
        <v>515</v>
      </c>
      <c r="K46" s="143">
        <v>10</v>
      </c>
      <c r="L46" s="143">
        <f>K46*6</f>
        <v>60</v>
      </c>
      <c r="M46" s="155" t="s">
        <v>1728</v>
      </c>
      <c r="N46" s="48">
        <v>10</v>
      </c>
      <c r="O46" s="48">
        <v>50</v>
      </c>
      <c r="P46" s="48"/>
      <c r="Q46" s="48"/>
      <c r="R46" s="48"/>
      <c r="S46" s="48">
        <v>50</v>
      </c>
      <c r="T46" s="48"/>
      <c r="U46" s="48"/>
      <c r="V46" s="48"/>
      <c r="W46" s="48"/>
      <c r="X46" s="48"/>
      <c r="Y46" s="48"/>
      <c r="Z46" s="48"/>
      <c r="AA46" s="227" t="s">
        <v>1806</v>
      </c>
    </row>
    <row r="47" spans="1:27" s="42" customFormat="1" ht="12" customHeight="1" x14ac:dyDescent="0.25">
      <c r="A47" s="36">
        <v>41068</v>
      </c>
      <c r="B47" s="36">
        <v>41068</v>
      </c>
      <c r="C47" s="37" t="s">
        <v>1635</v>
      </c>
      <c r="D47" s="37" t="s">
        <v>1480</v>
      </c>
      <c r="E47" s="37" t="s">
        <v>1635</v>
      </c>
      <c r="F47" s="132" t="s">
        <v>1464</v>
      </c>
      <c r="G47" s="41">
        <f>VLOOKUP(F47,Pcode!A:B,2,FALSE)</f>
        <v>6</v>
      </c>
      <c r="H47" s="41" t="s">
        <v>1460</v>
      </c>
      <c r="I47" s="41">
        <f>VLOOKUP(H47,Pcode!C:D,2,FALSE)</f>
        <v>611</v>
      </c>
      <c r="J47" s="41" t="s">
        <v>1242</v>
      </c>
      <c r="K47" s="47">
        <v>80</v>
      </c>
      <c r="L47" s="47">
        <f>K47*6</f>
        <v>480</v>
      </c>
      <c r="M47" s="46" t="s">
        <v>1728</v>
      </c>
      <c r="N47" s="48"/>
      <c r="O47" s="48"/>
      <c r="P47" s="48"/>
      <c r="Q47" s="48"/>
      <c r="R47" s="48">
        <v>80</v>
      </c>
      <c r="S47" s="48">
        <v>160</v>
      </c>
      <c r="T47" s="48">
        <v>160</v>
      </c>
      <c r="U47" s="48"/>
      <c r="V47" s="48">
        <v>80</v>
      </c>
      <c r="W47" s="48"/>
      <c r="X47" s="48"/>
      <c r="Y47" s="48"/>
      <c r="Z47" s="48"/>
      <c r="AA47" s="227" t="s">
        <v>1806</v>
      </c>
    </row>
    <row r="48" spans="1:27" s="42" customFormat="1" ht="12" customHeight="1" x14ac:dyDescent="0.25">
      <c r="A48" s="36">
        <v>41076</v>
      </c>
      <c r="B48" s="36">
        <v>41076</v>
      </c>
      <c r="C48" s="37" t="s">
        <v>1635</v>
      </c>
      <c r="D48" s="37" t="s">
        <v>1480</v>
      </c>
      <c r="E48" s="37" t="s">
        <v>1635</v>
      </c>
      <c r="F48" s="132" t="s">
        <v>1464</v>
      </c>
      <c r="G48" s="41">
        <f>VLOOKUP(F48,Pcode!A:B,2,FALSE)</f>
        <v>6</v>
      </c>
      <c r="H48" s="41" t="s">
        <v>1460</v>
      </c>
      <c r="I48" s="41">
        <f>VLOOKUP(H48,Pcode!C:D,2,FALSE)</f>
        <v>611</v>
      </c>
      <c r="J48" s="41" t="s">
        <v>515</v>
      </c>
      <c r="K48" s="143">
        <v>40</v>
      </c>
      <c r="L48" s="143">
        <f>K48*6</f>
        <v>240</v>
      </c>
      <c r="M48" s="46" t="s">
        <v>1728</v>
      </c>
      <c r="N48" s="48"/>
      <c r="O48" s="48"/>
      <c r="P48" s="48"/>
      <c r="Q48" s="48"/>
      <c r="R48" s="48"/>
      <c r="S48" s="48">
        <v>80</v>
      </c>
      <c r="T48" s="48">
        <v>80</v>
      </c>
      <c r="U48" s="48"/>
      <c r="V48" s="48">
        <v>80</v>
      </c>
      <c r="W48" s="48"/>
      <c r="X48" s="48"/>
      <c r="Y48" s="48"/>
      <c r="Z48" s="48"/>
      <c r="AA48" s="227" t="s">
        <v>1806</v>
      </c>
    </row>
    <row r="49" spans="1:27" s="42" customFormat="1" ht="12" customHeight="1" x14ac:dyDescent="0.25">
      <c r="A49" s="36">
        <v>41178</v>
      </c>
      <c r="B49" s="36">
        <v>41178</v>
      </c>
      <c r="C49" s="37" t="s">
        <v>1635</v>
      </c>
      <c r="D49" s="37" t="s">
        <v>1480</v>
      </c>
      <c r="E49" s="37" t="s">
        <v>1635</v>
      </c>
      <c r="F49" s="135" t="s">
        <v>695</v>
      </c>
      <c r="G49" s="41">
        <f>VLOOKUP(F49,Pcode!A:B,2,FALSE)</f>
        <v>4</v>
      </c>
      <c r="H49" s="41" t="s">
        <v>789</v>
      </c>
      <c r="I49" s="41">
        <f>VLOOKUP(H49,Pcode!C:D,2,FALSE)</f>
        <v>415</v>
      </c>
      <c r="J49" s="41" t="s">
        <v>358</v>
      </c>
      <c r="K49" s="47">
        <v>82</v>
      </c>
      <c r="L49" s="47">
        <v>492</v>
      </c>
      <c r="M49" s="46" t="s">
        <v>1728</v>
      </c>
      <c r="N49" s="48"/>
      <c r="O49" s="48"/>
      <c r="P49" s="48"/>
      <c r="Q49" s="48"/>
      <c r="R49" s="48">
        <v>280</v>
      </c>
      <c r="S49" s="48">
        <v>560</v>
      </c>
      <c r="T49" s="48">
        <v>560</v>
      </c>
      <c r="U49" s="48"/>
      <c r="V49" s="48">
        <v>280</v>
      </c>
      <c r="W49" s="48"/>
      <c r="X49" s="48"/>
      <c r="Y49" s="48"/>
      <c r="Z49" s="48"/>
      <c r="AA49" s="227" t="s">
        <v>1806</v>
      </c>
    </row>
    <row r="50" spans="1:27" s="42" customFormat="1" ht="12" customHeight="1" x14ac:dyDescent="0.25">
      <c r="A50" s="36">
        <v>41178</v>
      </c>
      <c r="B50" s="36">
        <v>41178</v>
      </c>
      <c r="C50" s="37" t="s">
        <v>1635</v>
      </c>
      <c r="D50" s="37" t="s">
        <v>1480</v>
      </c>
      <c r="E50" s="37" t="s">
        <v>1635</v>
      </c>
      <c r="F50" s="135" t="s">
        <v>695</v>
      </c>
      <c r="G50" s="41">
        <f>VLOOKUP(F50,Pcode!A:B,2,FALSE)</f>
        <v>4</v>
      </c>
      <c r="H50" s="41" t="s">
        <v>789</v>
      </c>
      <c r="I50" s="41">
        <f>VLOOKUP(H50,Pcode!C:D,2,FALSE)</f>
        <v>415</v>
      </c>
      <c r="J50" s="41" t="s">
        <v>361</v>
      </c>
      <c r="K50" s="47">
        <v>44</v>
      </c>
      <c r="L50" s="47">
        <v>264</v>
      </c>
      <c r="M50" s="46" t="s">
        <v>1728</v>
      </c>
      <c r="N50" s="48"/>
      <c r="O50" s="48"/>
      <c r="P50" s="48"/>
      <c r="Q50" s="48"/>
      <c r="R50" s="48">
        <v>40</v>
      </c>
      <c r="S50" s="48">
        <v>80</v>
      </c>
      <c r="T50" s="48">
        <v>80</v>
      </c>
      <c r="U50" s="48"/>
      <c r="V50" s="48">
        <v>40</v>
      </c>
      <c r="W50" s="48"/>
      <c r="X50" s="48"/>
      <c r="Y50" s="48"/>
      <c r="Z50" s="48"/>
      <c r="AA50" s="227" t="s">
        <v>1806</v>
      </c>
    </row>
    <row r="51" spans="1:27" s="42" customFormat="1" ht="12" customHeight="1" x14ac:dyDescent="0.25">
      <c r="A51" s="36">
        <v>41179</v>
      </c>
      <c r="B51" s="36">
        <v>41179</v>
      </c>
      <c r="C51" s="37" t="s">
        <v>1635</v>
      </c>
      <c r="D51" s="37" t="s">
        <v>1480</v>
      </c>
      <c r="E51" s="37" t="s">
        <v>1635</v>
      </c>
      <c r="F51" s="135" t="s">
        <v>694</v>
      </c>
      <c r="G51" s="41">
        <f>VLOOKUP(F51,Pcode!A:B,2,FALSE)</f>
        <v>2</v>
      </c>
      <c r="H51" s="41" t="s">
        <v>773</v>
      </c>
      <c r="I51" s="41">
        <f>VLOOKUP(H51,Pcode!C:D,2,FALSE)</f>
        <v>211</v>
      </c>
      <c r="J51" s="41" t="s">
        <v>1657</v>
      </c>
      <c r="K51" s="47">
        <v>45</v>
      </c>
      <c r="L51" s="47">
        <v>270</v>
      </c>
      <c r="M51" s="46" t="s">
        <v>1728</v>
      </c>
      <c r="N51" s="51"/>
      <c r="O51" s="51"/>
      <c r="P51" s="51"/>
      <c r="Q51" s="51"/>
      <c r="R51" s="48">
        <v>80</v>
      </c>
      <c r="S51" s="48">
        <v>160</v>
      </c>
      <c r="T51" s="48">
        <v>160</v>
      </c>
      <c r="U51" s="48"/>
      <c r="V51" s="48">
        <v>80</v>
      </c>
      <c r="W51" s="48"/>
      <c r="X51" s="48"/>
      <c r="Y51" s="48"/>
      <c r="Z51" s="48"/>
      <c r="AA51" s="227" t="s">
        <v>1806</v>
      </c>
    </row>
    <row r="52" spans="1:27" s="42" customFormat="1" ht="12" customHeight="1" x14ac:dyDescent="0.25">
      <c r="A52" s="36">
        <v>41179</v>
      </c>
      <c r="B52" s="36">
        <v>41179</v>
      </c>
      <c r="C52" s="37" t="s">
        <v>1635</v>
      </c>
      <c r="D52" s="37" t="s">
        <v>1480</v>
      </c>
      <c r="E52" s="37" t="s">
        <v>1635</v>
      </c>
      <c r="F52" s="135" t="s">
        <v>1463</v>
      </c>
      <c r="G52" s="41">
        <f>VLOOKUP(F52,Pcode!A:B,2,FALSE)</f>
        <v>3</v>
      </c>
      <c r="H52" s="41" t="s">
        <v>783</v>
      </c>
      <c r="I52" s="41">
        <f>VLOOKUP(H52,Pcode!C:D,2,FALSE)</f>
        <v>315</v>
      </c>
      <c r="J52" s="41" t="s">
        <v>211</v>
      </c>
      <c r="K52" s="47">
        <v>4</v>
      </c>
      <c r="L52" s="47">
        <v>24</v>
      </c>
      <c r="M52" s="46" t="s">
        <v>1728</v>
      </c>
      <c r="N52" s="51"/>
      <c r="O52" s="51"/>
      <c r="P52" s="51"/>
      <c r="Q52" s="51"/>
      <c r="R52" s="48">
        <v>80</v>
      </c>
      <c r="S52" s="48">
        <v>160</v>
      </c>
      <c r="T52" s="48">
        <v>160</v>
      </c>
      <c r="U52" s="48"/>
      <c r="V52" s="48">
        <v>80</v>
      </c>
      <c r="W52" s="48"/>
      <c r="X52" s="48"/>
      <c r="Y52" s="48"/>
      <c r="Z52" s="48"/>
      <c r="AA52" s="227" t="s">
        <v>1806</v>
      </c>
    </row>
    <row r="53" spans="1:27" s="42" customFormat="1" ht="12" customHeight="1" x14ac:dyDescent="0.25">
      <c r="A53" s="36">
        <v>41180</v>
      </c>
      <c r="B53" s="36">
        <v>41180</v>
      </c>
      <c r="C53" s="37" t="s">
        <v>1635</v>
      </c>
      <c r="D53" s="37" t="s">
        <v>1480</v>
      </c>
      <c r="E53" s="37" t="s">
        <v>1635</v>
      </c>
      <c r="F53" s="135" t="s">
        <v>694</v>
      </c>
      <c r="G53" s="41">
        <f>VLOOKUP(F53,Pcode!A:B,2,FALSE)</f>
        <v>2</v>
      </c>
      <c r="H53" s="41" t="s">
        <v>775</v>
      </c>
      <c r="I53" s="41">
        <f>VLOOKUP(H53,Pcode!C:D,2,FALSE)</f>
        <v>213</v>
      </c>
      <c r="J53" s="41" t="s">
        <v>53</v>
      </c>
      <c r="K53" s="47">
        <v>21</v>
      </c>
      <c r="L53" s="47">
        <v>126</v>
      </c>
      <c r="M53" s="46" t="s">
        <v>1728</v>
      </c>
      <c r="N53" s="51"/>
      <c r="O53" s="51"/>
      <c r="P53" s="51"/>
      <c r="Q53" s="51"/>
      <c r="R53" s="48">
        <v>160</v>
      </c>
      <c r="S53" s="48">
        <v>360</v>
      </c>
      <c r="T53" s="48">
        <v>320</v>
      </c>
      <c r="U53" s="48"/>
      <c r="V53" s="48">
        <v>160</v>
      </c>
      <c r="W53" s="48"/>
      <c r="X53" s="48"/>
      <c r="Y53" s="48"/>
      <c r="Z53" s="48"/>
      <c r="AA53" s="227" t="s">
        <v>1806</v>
      </c>
    </row>
    <row r="54" spans="1:27" s="42" customFormat="1" ht="12" customHeight="1" x14ac:dyDescent="0.25">
      <c r="A54" s="36">
        <v>41183</v>
      </c>
      <c r="B54" s="36">
        <v>41183</v>
      </c>
      <c r="C54" s="37" t="s">
        <v>1635</v>
      </c>
      <c r="D54" s="37" t="s">
        <v>1480</v>
      </c>
      <c r="E54" s="37" t="s">
        <v>1635</v>
      </c>
      <c r="F54" s="132" t="s">
        <v>693</v>
      </c>
      <c r="G54" s="41">
        <f>VLOOKUP(F54,Pcode!A:B,2,FALSE)</f>
        <v>1</v>
      </c>
      <c r="H54" s="41" t="s">
        <v>772</v>
      </c>
      <c r="I54" s="41">
        <f>VLOOKUP(H54,Pcode!C:D,2,FALSE)</f>
        <v>111</v>
      </c>
      <c r="J54" s="133"/>
      <c r="K54" s="143">
        <v>50</v>
      </c>
      <c r="L54" s="143">
        <f t="shared" ref="L54:L62" si="1">K54*6</f>
        <v>300</v>
      </c>
      <c r="M54" s="46" t="s">
        <v>1728</v>
      </c>
      <c r="N54" s="51"/>
      <c r="O54" s="51"/>
      <c r="P54" s="51"/>
      <c r="Q54" s="51"/>
      <c r="R54" s="48">
        <v>50</v>
      </c>
      <c r="S54" s="48">
        <v>100</v>
      </c>
      <c r="T54" s="48">
        <v>100</v>
      </c>
      <c r="U54" s="48"/>
      <c r="V54" s="48">
        <v>50</v>
      </c>
      <c r="W54" s="48"/>
      <c r="X54" s="48"/>
      <c r="Y54" s="48"/>
      <c r="Z54" s="48"/>
      <c r="AA54" s="227" t="s">
        <v>1806</v>
      </c>
    </row>
    <row r="55" spans="1:27" s="42" customFormat="1" ht="12" customHeight="1" x14ac:dyDescent="0.25">
      <c r="A55" s="36">
        <v>41183</v>
      </c>
      <c r="B55" s="36">
        <v>41183</v>
      </c>
      <c r="C55" s="37" t="s">
        <v>1635</v>
      </c>
      <c r="D55" s="37" t="s">
        <v>1480</v>
      </c>
      <c r="E55" s="37" t="s">
        <v>1635</v>
      </c>
      <c r="F55" s="132" t="s">
        <v>693</v>
      </c>
      <c r="G55" s="41">
        <f>VLOOKUP(F55,Pcode!A:B,2,FALSE)</f>
        <v>1</v>
      </c>
      <c r="H55" s="41" t="s">
        <v>772</v>
      </c>
      <c r="I55" s="41">
        <f>VLOOKUP(H55,Pcode!C:D,2,FALSE)</f>
        <v>111</v>
      </c>
      <c r="J55" s="133"/>
      <c r="K55" s="143">
        <v>212</v>
      </c>
      <c r="L55" s="143">
        <f t="shared" si="1"/>
        <v>1272</v>
      </c>
      <c r="M55" s="46" t="s">
        <v>1728</v>
      </c>
      <c r="N55" s="51"/>
      <c r="O55" s="51"/>
      <c r="P55" s="51"/>
      <c r="Q55" s="51"/>
      <c r="R55" s="48">
        <v>212</v>
      </c>
      <c r="S55" s="48">
        <v>424</v>
      </c>
      <c r="T55" s="48">
        <v>424</v>
      </c>
      <c r="U55" s="48"/>
      <c r="V55" s="48">
        <v>212</v>
      </c>
      <c r="W55" s="48"/>
      <c r="X55" s="48"/>
      <c r="Y55" s="48"/>
      <c r="Z55" s="48"/>
      <c r="AA55" s="227" t="s">
        <v>1806</v>
      </c>
    </row>
    <row r="56" spans="1:27" s="42" customFormat="1" ht="12" customHeight="1" x14ac:dyDescent="0.25">
      <c r="A56" s="36">
        <v>41188</v>
      </c>
      <c r="B56" s="36">
        <v>41188</v>
      </c>
      <c r="C56" s="37" t="s">
        <v>1635</v>
      </c>
      <c r="D56" s="37" t="s">
        <v>1480</v>
      </c>
      <c r="E56" s="37" t="s">
        <v>1635</v>
      </c>
      <c r="F56" s="132" t="s">
        <v>693</v>
      </c>
      <c r="G56" s="41">
        <f>VLOOKUP(F56,Pcode!A:B,2,FALSE)</f>
        <v>1</v>
      </c>
      <c r="H56" s="41" t="s">
        <v>772</v>
      </c>
      <c r="I56" s="41">
        <f>VLOOKUP(H56,Pcode!C:D,2,FALSE)</f>
        <v>111</v>
      </c>
      <c r="J56" s="133"/>
      <c r="K56" s="143">
        <v>8</v>
      </c>
      <c r="L56" s="143">
        <f t="shared" si="1"/>
        <v>48</v>
      </c>
      <c r="M56" s="46" t="s">
        <v>1728</v>
      </c>
      <c r="N56" s="51"/>
      <c r="O56" s="51"/>
      <c r="P56" s="51"/>
      <c r="Q56" s="51"/>
      <c r="R56" s="48"/>
      <c r="S56" s="48">
        <v>17</v>
      </c>
      <c r="T56" s="48">
        <v>17</v>
      </c>
      <c r="U56" s="48"/>
      <c r="V56" s="48">
        <v>17</v>
      </c>
      <c r="W56" s="48"/>
      <c r="X56" s="48"/>
      <c r="Y56" s="48"/>
      <c r="Z56" s="48"/>
      <c r="AA56" s="227" t="s">
        <v>1806</v>
      </c>
    </row>
    <row r="57" spans="1:27" s="42" customFormat="1" ht="12" customHeight="1" x14ac:dyDescent="0.25">
      <c r="A57" s="36">
        <v>41189</v>
      </c>
      <c r="B57" s="36">
        <v>41189</v>
      </c>
      <c r="C57" s="37" t="s">
        <v>1635</v>
      </c>
      <c r="D57" s="37" t="s">
        <v>1480</v>
      </c>
      <c r="E57" s="37" t="s">
        <v>1635</v>
      </c>
      <c r="F57" s="132" t="s">
        <v>1463</v>
      </c>
      <c r="G57" s="41">
        <f>VLOOKUP(F57,Pcode!A:B,2,FALSE)</f>
        <v>3</v>
      </c>
      <c r="H57" s="41" t="s">
        <v>811</v>
      </c>
      <c r="I57" s="41">
        <f>VLOOKUP(H57,Pcode!C:D,2,FALSE)</f>
        <v>311</v>
      </c>
      <c r="J57" s="41" t="s">
        <v>146</v>
      </c>
      <c r="K57" s="143">
        <v>2</v>
      </c>
      <c r="L57" s="143">
        <f t="shared" si="1"/>
        <v>12</v>
      </c>
      <c r="M57" s="46" t="s">
        <v>1728</v>
      </c>
      <c r="N57" s="51"/>
      <c r="O57" s="51"/>
      <c r="P57" s="51"/>
      <c r="Q57" s="51"/>
      <c r="R57" s="48"/>
      <c r="S57" s="48">
        <v>4</v>
      </c>
      <c r="T57" s="48">
        <v>4</v>
      </c>
      <c r="U57" s="48"/>
      <c r="V57" s="48">
        <v>4</v>
      </c>
      <c r="W57" s="48"/>
      <c r="X57" s="48"/>
      <c r="Y57" s="48"/>
      <c r="Z57" s="48"/>
      <c r="AA57" s="227" t="s">
        <v>1806</v>
      </c>
    </row>
    <row r="58" spans="1:27" s="42" customFormat="1" ht="12" customHeight="1" x14ac:dyDescent="0.25">
      <c r="A58" s="36">
        <v>41191</v>
      </c>
      <c r="B58" s="36">
        <v>41191</v>
      </c>
      <c r="C58" s="37" t="s">
        <v>1635</v>
      </c>
      <c r="D58" s="37" t="s">
        <v>1480</v>
      </c>
      <c r="E58" s="37" t="s">
        <v>1635</v>
      </c>
      <c r="F58" s="132" t="s">
        <v>1464</v>
      </c>
      <c r="G58" s="41">
        <f>VLOOKUP(F58,Pcode!A:B,2,FALSE)</f>
        <v>6</v>
      </c>
      <c r="H58" s="41" t="s">
        <v>1460</v>
      </c>
      <c r="I58" s="41">
        <f>VLOOKUP(H58,Pcode!C:D,2,FALSE)</f>
        <v>611</v>
      </c>
      <c r="J58" s="41" t="s">
        <v>515</v>
      </c>
      <c r="K58" s="143">
        <v>45</v>
      </c>
      <c r="L58" s="143">
        <f t="shared" si="1"/>
        <v>270</v>
      </c>
      <c r="M58" s="46" t="s">
        <v>1728</v>
      </c>
      <c r="N58" s="48"/>
      <c r="O58" s="48"/>
      <c r="P58" s="48"/>
      <c r="Q58" s="48"/>
      <c r="R58" s="48"/>
      <c r="S58" s="48">
        <v>89</v>
      </c>
      <c r="T58" s="48">
        <v>89</v>
      </c>
      <c r="U58" s="48"/>
      <c r="V58" s="48">
        <v>89</v>
      </c>
      <c r="W58" s="48"/>
      <c r="X58" s="48"/>
      <c r="Y58" s="48"/>
      <c r="Z58" s="48"/>
      <c r="AA58" s="227" t="s">
        <v>1806</v>
      </c>
    </row>
    <row r="59" spans="1:27" s="42" customFormat="1" ht="12" customHeight="1" x14ac:dyDescent="0.25">
      <c r="A59" s="36">
        <v>41193</v>
      </c>
      <c r="B59" s="36">
        <v>41193</v>
      </c>
      <c r="C59" s="37" t="s">
        <v>1635</v>
      </c>
      <c r="D59" s="37" t="s">
        <v>1480</v>
      </c>
      <c r="E59" s="37" t="s">
        <v>1635</v>
      </c>
      <c r="F59" s="135" t="s">
        <v>695</v>
      </c>
      <c r="G59" s="41">
        <f>VLOOKUP(F59,Pcode!A:B,2,FALSE)</f>
        <v>4</v>
      </c>
      <c r="H59" s="41" t="s">
        <v>1458</v>
      </c>
      <c r="I59" s="41">
        <f>VLOOKUP(H59,Pcode!C:D,2,FALSE)</f>
        <v>411</v>
      </c>
      <c r="J59" s="41" t="s">
        <v>284</v>
      </c>
      <c r="K59" s="143">
        <v>33</v>
      </c>
      <c r="L59" s="143">
        <f t="shared" si="1"/>
        <v>198</v>
      </c>
      <c r="M59" s="46" t="s">
        <v>1728</v>
      </c>
      <c r="N59" s="48"/>
      <c r="O59" s="48"/>
      <c r="P59" s="48"/>
      <c r="Q59" s="48"/>
      <c r="R59" s="48"/>
      <c r="S59" s="48">
        <v>66</v>
      </c>
      <c r="T59" s="48">
        <v>66</v>
      </c>
      <c r="U59" s="48"/>
      <c r="V59" s="48">
        <v>66</v>
      </c>
      <c r="W59" s="48"/>
      <c r="X59" s="48"/>
      <c r="Y59" s="48"/>
      <c r="Z59" s="48"/>
      <c r="AA59" s="227" t="s">
        <v>1806</v>
      </c>
    </row>
    <row r="60" spans="1:27" s="42" customFormat="1" ht="12" customHeight="1" x14ac:dyDescent="0.25">
      <c r="A60" s="36">
        <v>41194</v>
      </c>
      <c r="B60" s="36">
        <v>41194</v>
      </c>
      <c r="C60" s="37" t="s">
        <v>1635</v>
      </c>
      <c r="D60" s="37" t="s">
        <v>1480</v>
      </c>
      <c r="E60" s="37" t="s">
        <v>1635</v>
      </c>
      <c r="F60" s="135" t="s">
        <v>694</v>
      </c>
      <c r="G60" s="41">
        <f>VLOOKUP(F60,Pcode!A:B,2,FALSE)</f>
        <v>2</v>
      </c>
      <c r="H60" s="41" t="s">
        <v>773</v>
      </c>
      <c r="I60" s="41">
        <f>VLOOKUP(H60,Pcode!C:D,2,FALSE)</f>
        <v>211</v>
      </c>
      <c r="J60" s="41" t="s">
        <v>32</v>
      </c>
      <c r="K60" s="143">
        <v>33</v>
      </c>
      <c r="L60" s="143">
        <f t="shared" si="1"/>
        <v>198</v>
      </c>
      <c r="M60" s="46" t="s">
        <v>1728</v>
      </c>
      <c r="N60" s="51"/>
      <c r="O60" s="51"/>
      <c r="P60" s="51"/>
      <c r="Q60" s="51"/>
      <c r="R60" s="48"/>
      <c r="S60" s="48">
        <v>66</v>
      </c>
      <c r="T60" s="48">
        <v>66</v>
      </c>
      <c r="U60" s="48"/>
      <c r="V60" s="48">
        <v>66</v>
      </c>
      <c r="W60" s="48"/>
      <c r="X60" s="48"/>
      <c r="Y60" s="48"/>
      <c r="Z60" s="48"/>
      <c r="AA60" s="227" t="s">
        <v>1806</v>
      </c>
    </row>
    <row r="61" spans="1:27" s="42" customFormat="1" ht="12" customHeight="1" x14ac:dyDescent="0.25">
      <c r="A61" s="36">
        <v>41251</v>
      </c>
      <c r="B61" s="36">
        <v>41251</v>
      </c>
      <c r="C61" s="37" t="s">
        <v>1635</v>
      </c>
      <c r="D61" s="37" t="s">
        <v>1480</v>
      </c>
      <c r="E61" s="37" t="s">
        <v>1635</v>
      </c>
      <c r="F61" s="132" t="s">
        <v>696</v>
      </c>
      <c r="G61" s="41">
        <f>VLOOKUP(F61,Pcode!A:B,2,FALSE)</f>
        <v>5</v>
      </c>
      <c r="H61" s="41" t="s">
        <v>1459</v>
      </c>
      <c r="I61" s="41">
        <f>VLOOKUP(H61,Pcode!C:D,2,FALSE)</f>
        <v>511</v>
      </c>
      <c r="J61" s="41" t="s">
        <v>415</v>
      </c>
      <c r="K61" s="143">
        <v>255</v>
      </c>
      <c r="L61" s="143">
        <f t="shared" si="1"/>
        <v>1530</v>
      </c>
      <c r="M61" s="46" t="s">
        <v>1728</v>
      </c>
      <c r="N61" s="48"/>
      <c r="O61" s="48"/>
      <c r="P61" s="48"/>
      <c r="Q61" s="48"/>
      <c r="R61" s="48"/>
      <c r="S61" s="48">
        <v>510</v>
      </c>
      <c r="T61" s="48">
        <v>510</v>
      </c>
      <c r="U61" s="48"/>
      <c r="V61" s="48">
        <v>510</v>
      </c>
      <c r="W61" s="48"/>
      <c r="X61" s="48"/>
      <c r="Y61" s="48"/>
      <c r="Z61" s="48"/>
      <c r="AA61" s="227" t="s">
        <v>1806</v>
      </c>
    </row>
    <row r="62" spans="1:27" s="42" customFormat="1" ht="12" customHeight="1" x14ac:dyDescent="0.25">
      <c r="A62" s="36">
        <v>41276</v>
      </c>
      <c r="B62" s="36">
        <v>41278</v>
      </c>
      <c r="C62" s="37" t="s">
        <v>1540</v>
      </c>
      <c r="D62" s="37" t="s">
        <v>1540</v>
      </c>
      <c r="E62" s="37" t="s">
        <v>1540</v>
      </c>
      <c r="F62" s="43" t="s">
        <v>693</v>
      </c>
      <c r="G62" s="41">
        <f>VLOOKUP(F62,Pcode!A:B,2,FALSE)</f>
        <v>1</v>
      </c>
      <c r="H62" s="41" t="s">
        <v>772</v>
      </c>
      <c r="I62" s="41">
        <f>VLOOKUP(H62,Pcode!C:D,2,FALSE)</f>
        <v>111</v>
      </c>
      <c r="J62" s="133" t="s">
        <v>1655</v>
      </c>
      <c r="K62" s="47">
        <v>359</v>
      </c>
      <c r="L62" s="47">
        <f t="shared" si="1"/>
        <v>2154</v>
      </c>
      <c r="M62" s="46" t="s">
        <v>1728</v>
      </c>
      <c r="N62" s="48"/>
      <c r="O62" s="48"/>
      <c r="P62" s="48"/>
      <c r="Q62" s="48"/>
      <c r="R62" s="48"/>
      <c r="S62" s="52">
        <v>718</v>
      </c>
      <c r="T62" s="52">
        <v>718</v>
      </c>
      <c r="U62" s="52"/>
      <c r="V62" s="52">
        <v>718</v>
      </c>
      <c r="W62" s="52">
        <v>718</v>
      </c>
      <c r="X62" s="52">
        <v>718</v>
      </c>
      <c r="Y62" s="52">
        <v>718</v>
      </c>
      <c r="Z62" s="52"/>
      <c r="AA62" s="230" t="s">
        <v>1685</v>
      </c>
    </row>
    <row r="63" spans="1:27" s="42" customFormat="1" ht="12" customHeight="1" x14ac:dyDescent="0.25">
      <c r="A63" s="39">
        <v>41215</v>
      </c>
      <c r="B63" s="39">
        <v>41215</v>
      </c>
      <c r="C63" s="37" t="s">
        <v>1633</v>
      </c>
      <c r="D63" s="37" t="s">
        <v>1480</v>
      </c>
      <c r="E63" s="37" t="s">
        <v>1633</v>
      </c>
      <c r="F63" s="132" t="s">
        <v>698</v>
      </c>
      <c r="G63" s="41">
        <f>VLOOKUP(F63,Pcode!A:B,2,FALSE)</f>
        <v>8</v>
      </c>
      <c r="H63" s="41" t="s">
        <v>807</v>
      </c>
      <c r="I63" s="41">
        <f>VLOOKUP(H63,Pcode!C:D,2,FALSE)</f>
        <v>812</v>
      </c>
      <c r="J63" s="41" t="s">
        <v>666</v>
      </c>
      <c r="K63" s="47">
        <v>1000</v>
      </c>
      <c r="L63" s="47">
        <v>6000</v>
      </c>
      <c r="M63" s="46" t="s">
        <v>1728</v>
      </c>
      <c r="N63" s="51"/>
      <c r="O63" s="51"/>
      <c r="P63" s="51"/>
      <c r="Q63" s="51"/>
      <c r="R63" s="48">
        <v>200</v>
      </c>
      <c r="S63" s="48">
        <v>400</v>
      </c>
      <c r="T63" s="48">
        <v>400</v>
      </c>
      <c r="U63" s="48"/>
      <c r="V63" s="48">
        <v>200</v>
      </c>
      <c r="W63" s="48"/>
      <c r="X63" s="48"/>
      <c r="Y63" s="48"/>
      <c r="Z63" s="48"/>
      <c r="AA63" s="227" t="s">
        <v>1806</v>
      </c>
    </row>
    <row r="64" spans="1:27" s="42" customFormat="1" ht="12" customHeight="1" x14ac:dyDescent="0.2">
      <c r="A64" s="36">
        <v>41018</v>
      </c>
      <c r="B64" s="36">
        <v>41018</v>
      </c>
      <c r="C64" s="20" t="s">
        <v>1804</v>
      </c>
      <c r="D64" s="37" t="s">
        <v>1480</v>
      </c>
      <c r="E64" s="37" t="s">
        <v>1720</v>
      </c>
      <c r="F64" s="132" t="s">
        <v>698</v>
      </c>
      <c r="G64" s="41">
        <f>VLOOKUP(F64,Pcode!A:B,2,FALSE)</f>
        <v>8</v>
      </c>
      <c r="H64" s="41" t="s">
        <v>808</v>
      </c>
      <c r="I64" s="41">
        <f>VLOOKUP(H64,Pcode!C:D,2,FALSE)</f>
        <v>813</v>
      </c>
      <c r="J64" s="41" t="s">
        <v>676</v>
      </c>
      <c r="K64" s="47">
        <v>100</v>
      </c>
      <c r="L64" s="47">
        <v>600</v>
      </c>
      <c r="M64" s="46" t="s">
        <v>1728</v>
      </c>
      <c r="N64" s="51"/>
      <c r="O64" s="51"/>
      <c r="P64" s="51"/>
      <c r="Q64" s="51"/>
      <c r="R64" s="48">
        <v>200</v>
      </c>
      <c r="S64" s="48">
        <v>400</v>
      </c>
      <c r="T64" s="48">
        <v>400</v>
      </c>
      <c r="U64" s="48"/>
      <c r="V64" s="48">
        <v>200</v>
      </c>
      <c r="W64" s="48"/>
      <c r="X64" s="48"/>
      <c r="Y64" s="48"/>
      <c r="Z64" s="48"/>
      <c r="AA64" s="227" t="s">
        <v>1806</v>
      </c>
    </row>
    <row r="65" spans="1:27" s="42" customFormat="1" ht="12" customHeight="1" x14ac:dyDescent="0.2">
      <c r="A65" s="36">
        <v>41096</v>
      </c>
      <c r="B65" s="36">
        <v>41096</v>
      </c>
      <c r="C65" s="20" t="s">
        <v>1804</v>
      </c>
      <c r="D65" s="37" t="s">
        <v>1480</v>
      </c>
      <c r="E65" s="37" t="s">
        <v>1720</v>
      </c>
      <c r="F65" s="132" t="s">
        <v>698</v>
      </c>
      <c r="G65" s="41">
        <f>VLOOKUP(F65,Pcode!A:B,2,FALSE)</f>
        <v>8</v>
      </c>
      <c r="H65" s="41" t="s">
        <v>809</v>
      </c>
      <c r="I65" s="41">
        <f>VLOOKUP(H65,Pcode!C:D,2,FALSE)</f>
        <v>814</v>
      </c>
      <c r="J65" s="41" t="s">
        <v>679</v>
      </c>
      <c r="K65" s="47">
        <v>200</v>
      </c>
      <c r="L65" s="47">
        <v>1200</v>
      </c>
      <c r="M65" s="46" t="s">
        <v>1728</v>
      </c>
      <c r="N65" s="51"/>
      <c r="O65" s="51"/>
      <c r="P65" s="51"/>
      <c r="Q65" s="51"/>
      <c r="R65" s="48">
        <f>100</f>
        <v>100</v>
      </c>
      <c r="S65" s="48">
        <v>200</v>
      </c>
      <c r="T65" s="48">
        <v>200</v>
      </c>
      <c r="U65" s="48"/>
      <c r="V65" s="48">
        <v>100</v>
      </c>
      <c r="W65" s="48"/>
      <c r="X65" s="48"/>
      <c r="Y65" s="48"/>
      <c r="Z65" s="48"/>
      <c r="AA65" s="227" t="s">
        <v>1806</v>
      </c>
    </row>
    <row r="66" spans="1:27" s="42" customFormat="1" ht="12" customHeight="1" x14ac:dyDescent="0.2">
      <c r="A66" s="36">
        <v>41010</v>
      </c>
      <c r="B66" s="36">
        <v>41010</v>
      </c>
      <c r="C66" s="20" t="s">
        <v>1805</v>
      </c>
      <c r="D66" s="37" t="s">
        <v>1480</v>
      </c>
      <c r="E66" s="37" t="s">
        <v>1721</v>
      </c>
      <c r="F66" s="132" t="s">
        <v>699</v>
      </c>
      <c r="G66" s="41">
        <f>VLOOKUP(F66,Pcode!A:B,2,FALSE)</f>
        <v>9</v>
      </c>
      <c r="H66" s="41" t="s">
        <v>810</v>
      </c>
      <c r="I66" s="41">
        <f>VLOOKUP(H66,Pcode!C:D,2,FALSE)</f>
        <v>912</v>
      </c>
      <c r="J66" s="41" t="s">
        <v>687</v>
      </c>
      <c r="K66" s="47">
        <v>300</v>
      </c>
      <c r="L66" s="47">
        <v>1800</v>
      </c>
      <c r="M66" s="46" t="s">
        <v>1728</v>
      </c>
      <c r="N66" s="51"/>
      <c r="O66" s="51"/>
      <c r="P66" s="51"/>
      <c r="Q66" s="51"/>
      <c r="R66" s="48">
        <f>400</f>
        <v>400</v>
      </c>
      <c r="S66" s="48">
        <v>800</v>
      </c>
      <c r="T66" s="48">
        <v>800</v>
      </c>
      <c r="U66" s="48"/>
      <c r="V66" s="48">
        <f>400</f>
        <v>400</v>
      </c>
      <c r="W66" s="48"/>
      <c r="X66" s="48"/>
      <c r="Y66" s="48"/>
      <c r="Z66" s="48"/>
      <c r="AA66" s="227" t="s">
        <v>1806</v>
      </c>
    </row>
    <row r="67" spans="1:27" s="42" customFormat="1" ht="12" customHeight="1" x14ac:dyDescent="0.2">
      <c r="A67" s="36">
        <v>41010</v>
      </c>
      <c r="B67" s="36">
        <v>41010</v>
      </c>
      <c r="C67" s="20" t="s">
        <v>1805</v>
      </c>
      <c r="D67" s="37" t="s">
        <v>1480</v>
      </c>
      <c r="E67" s="37" t="s">
        <v>1721</v>
      </c>
      <c r="F67" s="132" t="s">
        <v>697</v>
      </c>
      <c r="G67" s="41">
        <f>VLOOKUP(F67,Pcode!A:B,2,FALSE)</f>
        <v>7</v>
      </c>
      <c r="H67" s="41" t="s">
        <v>1352</v>
      </c>
      <c r="I67" s="41">
        <f>VLOOKUP(H67,Pcode!C:D,2,FALSE)</f>
        <v>711</v>
      </c>
      <c r="J67" s="41" t="s">
        <v>613</v>
      </c>
      <c r="K67" s="143">
        <v>200</v>
      </c>
      <c r="L67" s="162">
        <f>+K67*6</f>
        <v>1200</v>
      </c>
      <c r="M67" s="46" t="s">
        <v>1728</v>
      </c>
      <c r="N67" s="48"/>
      <c r="O67" s="48"/>
      <c r="P67" s="48"/>
      <c r="Q67" s="48"/>
      <c r="R67" s="48">
        <f>200</f>
        <v>200</v>
      </c>
      <c r="S67" s="48">
        <f>400</f>
        <v>400</v>
      </c>
      <c r="T67" s="48">
        <f>400</f>
        <v>400</v>
      </c>
      <c r="U67" s="48"/>
      <c r="V67" s="48">
        <f>200</f>
        <v>200</v>
      </c>
      <c r="W67" s="48"/>
      <c r="X67" s="48"/>
      <c r="Y67" s="48"/>
      <c r="Z67" s="48"/>
      <c r="AA67" s="227" t="s">
        <v>1806</v>
      </c>
    </row>
    <row r="68" spans="1:27" s="42" customFormat="1" ht="12" customHeight="1" x14ac:dyDescent="0.2">
      <c r="A68" s="36">
        <v>41010</v>
      </c>
      <c r="B68" s="36">
        <v>41010</v>
      </c>
      <c r="C68" s="20" t="s">
        <v>1805</v>
      </c>
      <c r="D68" s="37" t="s">
        <v>1480</v>
      </c>
      <c r="E68" s="37" t="s">
        <v>1721</v>
      </c>
      <c r="F68" s="132" t="s">
        <v>697</v>
      </c>
      <c r="G68" s="41">
        <f>VLOOKUP(F68,Pcode!A:B,2,FALSE)</f>
        <v>7</v>
      </c>
      <c r="H68" s="41" t="s">
        <v>1352</v>
      </c>
      <c r="I68" s="41">
        <f>VLOOKUP(H68,Pcode!C:D,2,FALSE)</f>
        <v>711</v>
      </c>
      <c r="J68" s="41" t="s">
        <v>613</v>
      </c>
      <c r="K68" s="143">
        <v>200</v>
      </c>
      <c r="L68" s="162">
        <f>+K68*6</f>
        <v>1200</v>
      </c>
      <c r="M68" s="46" t="s">
        <v>1728</v>
      </c>
      <c r="N68" s="48"/>
      <c r="O68" s="48"/>
      <c r="P68" s="48"/>
      <c r="Q68" s="48"/>
      <c r="R68" s="48">
        <v>200</v>
      </c>
      <c r="S68" s="48">
        <v>400</v>
      </c>
      <c r="T68" s="48">
        <v>400</v>
      </c>
      <c r="U68" s="48"/>
      <c r="V68" s="48">
        <v>200</v>
      </c>
      <c r="W68" s="48"/>
      <c r="X68" s="48"/>
      <c r="Y68" s="48"/>
      <c r="Z68" s="48"/>
      <c r="AA68" s="227" t="s">
        <v>1806</v>
      </c>
    </row>
    <row r="69" spans="1:27" s="42" customFormat="1" ht="12" customHeight="1" x14ac:dyDescent="0.25">
      <c r="A69" s="39" t="s">
        <v>1710</v>
      </c>
      <c r="B69" s="39">
        <v>41243</v>
      </c>
      <c r="C69" s="43" t="s">
        <v>1637</v>
      </c>
      <c r="D69" s="43" t="s">
        <v>1637</v>
      </c>
      <c r="E69" s="43" t="s">
        <v>1642</v>
      </c>
      <c r="F69" s="132" t="s">
        <v>1464</v>
      </c>
      <c r="G69" s="41">
        <f>VLOOKUP(F69,Pcode!A:B,2,FALSE)</f>
        <v>6</v>
      </c>
      <c r="H69" s="41" t="s">
        <v>1460</v>
      </c>
      <c r="I69" s="41">
        <f>VLOOKUP(H69,Pcode!C:D,2,FALSE)</f>
        <v>611</v>
      </c>
      <c r="J69" s="41" t="s">
        <v>513</v>
      </c>
      <c r="K69" s="47">
        <v>2500</v>
      </c>
      <c r="L69" s="162">
        <f>+K69*6</f>
        <v>15000</v>
      </c>
      <c r="M69" s="46" t="s">
        <v>1728</v>
      </c>
      <c r="N69" s="48"/>
      <c r="O69" s="48"/>
      <c r="P69" s="48"/>
      <c r="Q69" s="48">
        <v>2</v>
      </c>
      <c r="R69" s="48">
        <v>10</v>
      </c>
      <c r="S69" s="48">
        <v>3100</v>
      </c>
      <c r="T69" s="48">
        <v>3100</v>
      </c>
      <c r="U69" s="48"/>
      <c r="V69" s="48">
        <v>383</v>
      </c>
      <c r="W69" s="48">
        <v>600</v>
      </c>
      <c r="X69" s="48">
        <v>2856</v>
      </c>
      <c r="Y69" s="48">
        <v>4500</v>
      </c>
      <c r="Z69" s="48"/>
      <c r="AA69" s="228" t="s">
        <v>1687</v>
      </c>
    </row>
    <row r="70" spans="1:27" s="42" customFormat="1" ht="12" customHeight="1" x14ac:dyDescent="0.25">
      <c r="A70" s="37" t="s">
        <v>1709</v>
      </c>
      <c r="B70" s="39">
        <v>41274</v>
      </c>
      <c r="C70" s="43" t="s">
        <v>1637</v>
      </c>
      <c r="D70" s="43" t="s">
        <v>1637</v>
      </c>
      <c r="E70" s="43" t="s">
        <v>1642</v>
      </c>
      <c r="F70" s="132" t="s">
        <v>1464</v>
      </c>
      <c r="G70" s="41">
        <f>VLOOKUP(F70,Pcode!A:B,2,FALSE)</f>
        <v>6</v>
      </c>
      <c r="H70" s="41" t="s">
        <v>1460</v>
      </c>
      <c r="I70" s="41">
        <f>VLOOKUP(H70,Pcode!C:D,2,FALSE)</f>
        <v>611</v>
      </c>
      <c r="J70" s="41" t="s">
        <v>513</v>
      </c>
      <c r="K70" s="47">
        <v>1864</v>
      </c>
      <c r="L70" s="162">
        <f>+K70*6</f>
        <v>11184</v>
      </c>
      <c r="M70" s="46" t="s">
        <v>1728</v>
      </c>
      <c r="N70" s="48"/>
      <c r="O70" s="48"/>
      <c r="P70" s="48"/>
      <c r="Q70" s="48"/>
      <c r="R70" s="48">
        <v>1665</v>
      </c>
      <c r="S70" s="48">
        <v>5440</v>
      </c>
      <c r="T70" s="48">
        <v>2625</v>
      </c>
      <c r="U70" s="48"/>
      <c r="V70" s="48">
        <v>326</v>
      </c>
      <c r="W70" s="48">
        <v>3800</v>
      </c>
      <c r="X70" s="48"/>
      <c r="Y70" s="48">
        <v>1200</v>
      </c>
      <c r="Z70" s="48"/>
      <c r="AA70" s="228" t="s">
        <v>1686</v>
      </c>
    </row>
    <row r="71" spans="1:27" s="42" customFormat="1" ht="12" customHeight="1" x14ac:dyDescent="0.25">
      <c r="A71" s="39" t="s">
        <v>1654</v>
      </c>
      <c r="B71" s="39" t="s">
        <v>1654</v>
      </c>
      <c r="C71" s="43" t="s">
        <v>1637</v>
      </c>
      <c r="D71" s="43" t="s">
        <v>1637</v>
      </c>
      <c r="E71" s="43" t="s">
        <v>1642</v>
      </c>
      <c r="F71" s="132" t="s">
        <v>1464</v>
      </c>
      <c r="G71" s="41">
        <f>VLOOKUP(F71,Pcode!A:B,2,FALSE)</f>
        <v>6</v>
      </c>
      <c r="H71" s="41" t="s">
        <v>1460</v>
      </c>
      <c r="I71" s="41">
        <f>VLOOKUP(H71,Pcode!C:D,2,FALSE)</f>
        <v>611</v>
      </c>
      <c r="J71" s="41" t="s">
        <v>513</v>
      </c>
      <c r="K71" s="47">
        <v>34</v>
      </c>
      <c r="L71" s="47">
        <f>K71*6.5</f>
        <v>221</v>
      </c>
      <c r="M71" s="46" t="s">
        <v>1728</v>
      </c>
      <c r="N71" s="53"/>
      <c r="O71" s="54"/>
      <c r="P71" s="54"/>
      <c r="Q71" s="54"/>
      <c r="R71" s="48">
        <v>34</v>
      </c>
      <c r="S71" s="48">
        <v>68</v>
      </c>
      <c r="T71" s="48">
        <v>68</v>
      </c>
      <c r="U71" s="48"/>
      <c r="V71" s="48">
        <v>34</v>
      </c>
      <c r="W71" s="48">
        <v>34</v>
      </c>
      <c r="X71" s="48">
        <v>68</v>
      </c>
      <c r="Y71" s="48">
        <v>68</v>
      </c>
      <c r="Z71" s="48"/>
      <c r="AA71" s="228" t="s">
        <v>1688</v>
      </c>
    </row>
    <row r="72" spans="1:27" s="42" customFormat="1" ht="12" customHeight="1" x14ac:dyDescent="0.25">
      <c r="A72" s="36">
        <v>41122</v>
      </c>
      <c r="B72" s="36">
        <v>41501</v>
      </c>
      <c r="C72" s="37" t="s">
        <v>1634</v>
      </c>
      <c r="D72" s="37" t="s">
        <v>1718</v>
      </c>
      <c r="E72" s="37" t="s">
        <v>1634</v>
      </c>
      <c r="F72" s="132" t="s">
        <v>1464</v>
      </c>
      <c r="G72" s="41">
        <f>VLOOKUP(F72,Pcode!A:B,2,FALSE)</f>
        <v>6</v>
      </c>
      <c r="H72" s="41" t="s">
        <v>1460</v>
      </c>
      <c r="I72" s="41">
        <f>VLOOKUP(H72,Pcode!C:D,2,FALSE)</f>
        <v>611</v>
      </c>
      <c r="J72" s="41" t="s">
        <v>504</v>
      </c>
      <c r="K72" s="47">
        <v>192</v>
      </c>
      <c r="L72" s="47">
        <v>1536</v>
      </c>
      <c r="M72" s="46" t="s">
        <v>1728</v>
      </c>
      <c r="N72" s="51"/>
      <c r="O72" s="51"/>
      <c r="P72" s="51"/>
      <c r="Q72" s="51"/>
      <c r="R72" s="48"/>
      <c r="S72" s="48">
        <v>384</v>
      </c>
      <c r="T72" s="48">
        <v>384</v>
      </c>
      <c r="U72" s="48"/>
      <c r="V72" s="48">
        <v>192</v>
      </c>
      <c r="W72" s="48"/>
      <c r="X72" s="48"/>
      <c r="Y72" s="48"/>
      <c r="Z72" s="48"/>
      <c r="AA72" s="228" t="s">
        <v>1666</v>
      </c>
    </row>
    <row r="73" spans="1:27" s="42" customFormat="1" ht="12" customHeight="1" x14ac:dyDescent="0.25">
      <c r="A73" s="39"/>
      <c r="B73" s="39"/>
      <c r="C73" s="37"/>
      <c r="D73" s="43"/>
      <c r="E73" s="43"/>
      <c r="F73" s="132"/>
      <c r="G73" s="41" t="e">
        <f>VLOOKUP(F73,Pcode!A:B,2,FALSE)</f>
        <v>#N/A</v>
      </c>
      <c r="H73" s="41"/>
      <c r="I73" s="41" t="e">
        <f>VLOOKUP(H73,Pcode!C:D,2,FALSE)</f>
        <v>#N/A</v>
      </c>
      <c r="J73" s="41"/>
      <c r="K73" s="47"/>
      <c r="L73" s="47"/>
      <c r="M73" s="46"/>
      <c r="N73" s="53"/>
      <c r="O73" s="54"/>
      <c r="P73" s="54"/>
      <c r="Q73" s="54"/>
      <c r="R73" s="48"/>
      <c r="S73" s="48"/>
      <c r="T73" s="48"/>
      <c r="U73" s="48"/>
      <c r="V73" s="48"/>
      <c r="W73" s="48"/>
      <c r="X73" s="48"/>
      <c r="Y73" s="48"/>
      <c r="Z73" s="48"/>
      <c r="AA73" s="228"/>
    </row>
    <row r="74" spans="1:27" s="42" customFormat="1" ht="12" customHeight="1" x14ac:dyDescent="0.25">
      <c r="A74" s="39"/>
      <c r="B74" s="39"/>
      <c r="C74" s="43"/>
      <c r="D74" s="43"/>
      <c r="E74" s="43"/>
      <c r="F74" s="132"/>
      <c r="G74" s="41" t="e">
        <f>VLOOKUP(F74,Pcode!A:B,2,FALSE)</f>
        <v>#N/A</v>
      </c>
      <c r="H74" s="41"/>
      <c r="I74" s="41" t="e">
        <f>VLOOKUP(H74,Pcode!C:D,2,FALSE)</f>
        <v>#N/A</v>
      </c>
      <c r="J74" s="41"/>
      <c r="K74" s="47"/>
      <c r="L74" s="47"/>
      <c r="M74" s="46"/>
      <c r="N74" s="53"/>
      <c r="O74" s="54"/>
      <c r="P74" s="54"/>
      <c r="Q74" s="54"/>
      <c r="R74" s="48"/>
      <c r="S74" s="48"/>
      <c r="T74" s="48"/>
      <c r="U74" s="48"/>
      <c r="V74" s="48"/>
      <c r="W74" s="48"/>
      <c r="X74" s="48"/>
      <c r="Y74" s="48"/>
      <c r="Z74" s="48"/>
      <c r="AA74" s="228"/>
    </row>
    <row r="75" spans="1:27" s="42" customFormat="1" ht="12" customHeight="1" x14ac:dyDescent="0.25">
      <c r="A75" s="39"/>
      <c r="B75" s="39"/>
      <c r="C75" s="43"/>
      <c r="D75" s="43"/>
      <c r="E75" s="43"/>
      <c r="F75" s="132"/>
      <c r="G75" s="41" t="e">
        <f>VLOOKUP(F75,Pcode!A:B,2,FALSE)</f>
        <v>#N/A</v>
      </c>
      <c r="H75" s="41"/>
      <c r="I75" s="41" t="e">
        <f>VLOOKUP(H75,Pcode!C:D,2,FALSE)</f>
        <v>#N/A</v>
      </c>
      <c r="J75" s="41"/>
      <c r="K75" s="47"/>
      <c r="L75" s="47"/>
      <c r="M75" s="46"/>
      <c r="N75" s="53"/>
      <c r="O75" s="54"/>
      <c r="P75" s="54"/>
      <c r="Q75" s="54"/>
      <c r="R75" s="48"/>
      <c r="S75" s="48"/>
      <c r="T75" s="48"/>
      <c r="U75" s="48"/>
      <c r="V75" s="48"/>
      <c r="W75" s="48"/>
      <c r="X75" s="48"/>
      <c r="Y75" s="48"/>
      <c r="Z75" s="48"/>
      <c r="AA75" s="228"/>
    </row>
    <row r="76" spans="1:27" ht="12" customHeight="1" x14ac:dyDescent="0.2">
      <c r="A76" s="39"/>
      <c r="B76" s="39"/>
      <c r="C76" s="43"/>
      <c r="D76" s="43"/>
      <c r="E76" s="43"/>
      <c r="F76" s="132"/>
      <c r="G76" s="41" t="e">
        <f>VLOOKUP(F76,Pcode!A:B,2,FALSE)</f>
        <v>#N/A</v>
      </c>
      <c r="H76" s="41"/>
      <c r="I76" s="41" t="e">
        <f>VLOOKUP(H76,Pcode!C:D,2,FALSE)</f>
        <v>#N/A</v>
      </c>
      <c r="J76" s="41"/>
      <c r="K76" s="47"/>
      <c r="L76" s="47"/>
      <c r="M76" s="46"/>
      <c r="N76" s="53"/>
      <c r="O76" s="54"/>
      <c r="P76" s="54"/>
      <c r="Q76" s="54"/>
      <c r="R76" s="48"/>
      <c r="S76" s="48"/>
      <c r="T76" s="48"/>
      <c r="U76" s="48"/>
      <c r="V76" s="48"/>
      <c r="W76" s="48"/>
      <c r="X76" s="48"/>
      <c r="Y76" s="48"/>
      <c r="Z76" s="48"/>
      <c r="AA76" s="228"/>
    </row>
    <row r="77" spans="1:27" ht="12" customHeight="1" x14ac:dyDescent="0.2">
      <c r="A77" s="39"/>
      <c r="B77" s="39"/>
      <c r="C77" s="43"/>
      <c r="D77" s="43"/>
      <c r="E77" s="43"/>
      <c r="F77" s="132"/>
      <c r="G77" s="41" t="e">
        <f>VLOOKUP(F77,Pcode!A:B,2,FALSE)</f>
        <v>#N/A</v>
      </c>
      <c r="H77" s="41"/>
      <c r="I77" s="41" t="e">
        <f>VLOOKUP(H77,Pcode!C:D,2,FALSE)</f>
        <v>#N/A</v>
      </c>
      <c r="J77" s="41"/>
      <c r="K77" s="47"/>
      <c r="L77" s="47"/>
      <c r="M77" s="46"/>
      <c r="N77" s="53"/>
      <c r="O77" s="54"/>
      <c r="P77" s="54"/>
      <c r="Q77" s="54"/>
      <c r="R77" s="48"/>
      <c r="S77" s="48"/>
      <c r="T77" s="48"/>
      <c r="U77" s="48"/>
      <c r="V77" s="48"/>
      <c r="W77" s="48"/>
      <c r="X77" s="48"/>
      <c r="Y77" s="48"/>
      <c r="Z77" s="48"/>
      <c r="AA77" s="228"/>
    </row>
    <row r="78" spans="1:27" ht="12" customHeight="1" x14ac:dyDescent="0.2">
      <c r="A78" s="39"/>
      <c r="B78" s="39"/>
      <c r="C78" s="43"/>
      <c r="D78" s="43"/>
      <c r="E78" s="43"/>
      <c r="F78" s="132"/>
      <c r="G78" s="41" t="e">
        <f>VLOOKUP(F78,Pcode!A:B,2,FALSE)</f>
        <v>#N/A</v>
      </c>
      <c r="H78" s="41"/>
      <c r="I78" s="41" t="e">
        <f>VLOOKUP(H78,Pcode!C:D,2,FALSE)</f>
        <v>#N/A</v>
      </c>
      <c r="J78" s="41"/>
      <c r="K78" s="47"/>
      <c r="L78" s="47"/>
      <c r="M78" s="46"/>
      <c r="N78" s="53"/>
      <c r="O78" s="54"/>
      <c r="P78" s="54"/>
      <c r="Q78" s="54"/>
      <c r="R78" s="48"/>
      <c r="S78" s="48"/>
      <c r="T78" s="48"/>
      <c r="U78" s="48"/>
      <c r="V78" s="48"/>
      <c r="W78" s="48"/>
      <c r="X78" s="48"/>
      <c r="Y78" s="48"/>
      <c r="Z78" s="48"/>
      <c r="AA78" s="228"/>
    </row>
    <row r="79" spans="1:27" ht="12" customHeight="1" x14ac:dyDescent="0.2">
      <c r="A79" s="39"/>
      <c r="B79" s="39"/>
      <c r="C79" s="43"/>
      <c r="D79" s="43"/>
      <c r="E79" s="43"/>
      <c r="F79" s="132"/>
      <c r="G79" s="41" t="e">
        <f>VLOOKUP(F79,Pcode!A:B,2,FALSE)</f>
        <v>#N/A</v>
      </c>
      <c r="H79" s="41"/>
      <c r="I79" s="41" t="e">
        <f>VLOOKUP(H79,Pcode!C:D,2,FALSE)</f>
        <v>#N/A</v>
      </c>
      <c r="J79" s="41"/>
      <c r="K79" s="47"/>
      <c r="L79" s="47"/>
      <c r="M79" s="46"/>
      <c r="N79" s="53"/>
      <c r="O79" s="54"/>
      <c r="P79" s="54"/>
      <c r="Q79" s="54"/>
      <c r="R79" s="48"/>
      <c r="S79" s="48"/>
      <c r="T79" s="48"/>
      <c r="U79" s="48"/>
      <c r="V79" s="48"/>
      <c r="W79" s="48"/>
      <c r="X79" s="48"/>
      <c r="Y79" s="48"/>
      <c r="Z79" s="48"/>
      <c r="AA79" s="228"/>
    </row>
    <row r="80" spans="1:27" ht="12" customHeight="1" x14ac:dyDescent="0.2">
      <c r="A80" s="39"/>
      <c r="B80" s="39"/>
      <c r="C80" s="43"/>
      <c r="D80" s="43"/>
      <c r="E80" s="43"/>
      <c r="F80" s="132"/>
      <c r="G80" s="41" t="e">
        <f>VLOOKUP(F80,Pcode!A:B,2,FALSE)</f>
        <v>#N/A</v>
      </c>
      <c r="H80" s="41"/>
      <c r="I80" s="41" t="e">
        <f>VLOOKUP(H80,Pcode!C:D,2,FALSE)</f>
        <v>#N/A</v>
      </c>
      <c r="J80" s="41"/>
      <c r="K80" s="47"/>
      <c r="L80" s="47"/>
      <c r="M80" s="46"/>
      <c r="N80" s="53"/>
      <c r="O80" s="54"/>
      <c r="P80" s="54"/>
      <c r="Q80" s="54"/>
      <c r="R80" s="48"/>
      <c r="S80" s="48"/>
      <c r="T80" s="48"/>
      <c r="U80" s="48"/>
      <c r="V80" s="48"/>
      <c r="W80" s="48"/>
      <c r="X80" s="48"/>
      <c r="Y80" s="48"/>
      <c r="Z80" s="48"/>
      <c r="AA80" s="228"/>
    </row>
    <row r="81" spans="1:27" ht="12" customHeight="1" x14ac:dyDescent="0.2">
      <c r="A81" s="39"/>
      <c r="B81" s="39"/>
      <c r="C81" s="43"/>
      <c r="D81" s="43"/>
      <c r="E81" s="43"/>
      <c r="F81" s="132"/>
      <c r="G81" s="41" t="e">
        <f>VLOOKUP(F81,Pcode!A:B,2,FALSE)</f>
        <v>#N/A</v>
      </c>
      <c r="H81" s="41"/>
      <c r="I81" s="41" t="e">
        <f>VLOOKUP(H81,Pcode!C:D,2,FALSE)</f>
        <v>#N/A</v>
      </c>
      <c r="J81" s="41"/>
      <c r="K81" s="47"/>
      <c r="L81" s="47"/>
      <c r="M81" s="46"/>
      <c r="N81" s="53"/>
      <c r="O81" s="54"/>
      <c r="P81" s="54"/>
      <c r="Q81" s="54"/>
      <c r="R81" s="48"/>
      <c r="S81" s="48"/>
      <c r="T81" s="48"/>
      <c r="U81" s="48"/>
      <c r="V81" s="48"/>
      <c r="W81" s="48"/>
      <c r="X81" s="48"/>
      <c r="Y81" s="48"/>
      <c r="Z81" s="48"/>
      <c r="AA81" s="228"/>
    </row>
    <row r="82" spans="1:27" ht="12" customHeight="1" x14ac:dyDescent="0.2">
      <c r="A82" s="39"/>
      <c r="B82" s="39"/>
      <c r="C82" s="43"/>
      <c r="D82" s="43"/>
      <c r="E82" s="43"/>
      <c r="F82" s="132"/>
      <c r="G82" s="41" t="e">
        <f>VLOOKUP(F82,Pcode!A:B,2,FALSE)</f>
        <v>#N/A</v>
      </c>
      <c r="H82" s="41"/>
      <c r="I82" s="41" t="e">
        <f>VLOOKUP(H82,Pcode!C:D,2,FALSE)</f>
        <v>#N/A</v>
      </c>
      <c r="J82" s="41"/>
      <c r="K82" s="47"/>
      <c r="L82" s="47"/>
      <c r="M82" s="46"/>
      <c r="N82" s="53"/>
      <c r="O82" s="54"/>
      <c r="P82" s="54"/>
      <c r="Q82" s="54"/>
      <c r="R82" s="48"/>
      <c r="S82" s="48"/>
      <c r="T82" s="48"/>
      <c r="U82" s="48"/>
      <c r="V82" s="48"/>
      <c r="W82" s="48"/>
      <c r="X82" s="48"/>
      <c r="Y82" s="48"/>
      <c r="Z82" s="48"/>
      <c r="AA82" s="228"/>
    </row>
    <row r="83" spans="1:27" ht="12" customHeight="1" x14ac:dyDescent="0.2">
      <c r="A83" s="39"/>
      <c r="B83" s="39"/>
      <c r="C83" s="43"/>
      <c r="D83" s="43"/>
      <c r="E83" s="43"/>
      <c r="F83" s="132"/>
      <c r="G83" s="41" t="e">
        <f>VLOOKUP(F83,Pcode!A:B,2,FALSE)</f>
        <v>#N/A</v>
      </c>
      <c r="H83" s="41"/>
      <c r="I83" s="41" t="e">
        <f>VLOOKUP(H83,Pcode!C:D,2,FALSE)</f>
        <v>#N/A</v>
      </c>
      <c r="J83" s="41"/>
      <c r="K83" s="47"/>
      <c r="L83" s="47"/>
      <c r="M83" s="46"/>
      <c r="N83" s="53"/>
      <c r="O83" s="54"/>
      <c r="P83" s="54"/>
      <c r="Q83" s="54"/>
      <c r="R83" s="48"/>
      <c r="S83" s="48"/>
      <c r="T83" s="48"/>
      <c r="U83" s="48"/>
      <c r="V83" s="48"/>
      <c r="W83" s="48"/>
      <c r="X83" s="48"/>
      <c r="Y83" s="48"/>
      <c r="Z83" s="48"/>
      <c r="AA83" s="228"/>
    </row>
    <row r="84" spans="1:27" ht="12" customHeight="1" x14ac:dyDescent="0.2">
      <c r="A84" s="39"/>
      <c r="B84" s="39"/>
      <c r="C84" s="43"/>
      <c r="D84" s="43"/>
      <c r="E84" s="43"/>
      <c r="F84" s="132"/>
      <c r="G84" s="41" t="e">
        <f>VLOOKUP(F84,Pcode!A:B,2,FALSE)</f>
        <v>#N/A</v>
      </c>
      <c r="H84" s="41"/>
      <c r="I84" s="41" t="e">
        <f>VLOOKUP(H84,Pcode!C:D,2,FALSE)</f>
        <v>#N/A</v>
      </c>
      <c r="J84" s="41"/>
      <c r="K84" s="47"/>
      <c r="L84" s="47"/>
      <c r="M84" s="46"/>
      <c r="N84" s="53"/>
      <c r="O84" s="54"/>
      <c r="P84" s="54"/>
      <c r="Q84" s="54"/>
      <c r="R84" s="48"/>
      <c r="S84" s="48"/>
      <c r="T84" s="48"/>
      <c r="U84" s="48"/>
      <c r="V84" s="48"/>
      <c r="W84" s="48"/>
      <c r="X84" s="48"/>
      <c r="Y84" s="48"/>
      <c r="Z84" s="48"/>
      <c r="AA84" s="228"/>
    </row>
    <row r="85" spans="1:27" ht="12" customHeight="1" x14ac:dyDescent="0.2">
      <c r="A85" s="39"/>
      <c r="B85" s="39"/>
      <c r="C85" s="43"/>
      <c r="D85" s="43"/>
      <c r="E85" s="43"/>
      <c r="F85" s="132"/>
      <c r="G85" s="41" t="e">
        <f>VLOOKUP(F85,Pcode!A:B,2,FALSE)</f>
        <v>#N/A</v>
      </c>
      <c r="H85" s="41"/>
      <c r="I85" s="41" t="e">
        <f>VLOOKUP(H85,Pcode!C:D,2,FALSE)</f>
        <v>#N/A</v>
      </c>
      <c r="J85" s="41"/>
      <c r="K85" s="47"/>
      <c r="L85" s="47"/>
      <c r="M85" s="46"/>
      <c r="N85" s="53"/>
      <c r="O85" s="54"/>
      <c r="P85" s="54"/>
      <c r="Q85" s="54"/>
      <c r="R85" s="48"/>
      <c r="S85" s="48"/>
      <c r="T85" s="48"/>
      <c r="U85" s="48"/>
      <c r="V85" s="48"/>
      <c r="W85" s="48"/>
      <c r="X85" s="48"/>
      <c r="Y85" s="48"/>
      <c r="Z85" s="48"/>
      <c r="AA85" s="228"/>
    </row>
    <row r="86" spans="1:27" ht="12" customHeight="1" x14ac:dyDescent="0.2">
      <c r="A86" s="39"/>
      <c r="B86" s="39"/>
      <c r="C86" s="43"/>
      <c r="D86" s="43"/>
      <c r="E86" s="43"/>
      <c r="F86" s="132"/>
      <c r="G86" s="41" t="e">
        <f>VLOOKUP(F86,Pcode!A:B,2,FALSE)</f>
        <v>#N/A</v>
      </c>
      <c r="H86" s="41"/>
      <c r="I86" s="41" t="e">
        <f>VLOOKUP(H86,Pcode!C:D,2,FALSE)</f>
        <v>#N/A</v>
      </c>
      <c r="J86" s="41"/>
      <c r="K86" s="47"/>
      <c r="L86" s="47"/>
      <c r="M86" s="46"/>
      <c r="N86" s="53"/>
      <c r="O86" s="54"/>
      <c r="P86" s="54"/>
      <c r="Q86" s="54"/>
      <c r="R86" s="48"/>
      <c r="S86" s="48"/>
      <c r="T86" s="48"/>
      <c r="U86" s="48"/>
      <c r="V86" s="48"/>
      <c r="W86" s="48"/>
      <c r="X86" s="48"/>
      <c r="Y86" s="48"/>
      <c r="Z86" s="48"/>
      <c r="AA86" s="228"/>
    </row>
    <row r="87" spans="1:27" ht="12" customHeight="1" x14ac:dyDescent="0.2">
      <c r="A87" s="39"/>
      <c r="B87" s="39"/>
      <c r="C87" s="43"/>
      <c r="D87" s="43"/>
      <c r="E87" s="43"/>
      <c r="F87" s="132"/>
      <c r="G87" s="41" t="e">
        <f>VLOOKUP(F87,Pcode!A:B,2,FALSE)</f>
        <v>#N/A</v>
      </c>
      <c r="H87" s="41"/>
      <c r="I87" s="41" t="e">
        <f>VLOOKUP(H87,Pcode!C:D,2,FALSE)</f>
        <v>#N/A</v>
      </c>
      <c r="J87" s="41"/>
      <c r="K87" s="47"/>
      <c r="L87" s="47"/>
      <c r="M87" s="46"/>
      <c r="N87" s="53"/>
      <c r="O87" s="54"/>
      <c r="P87" s="54"/>
      <c r="Q87" s="54"/>
      <c r="R87" s="48"/>
      <c r="S87" s="48"/>
      <c r="T87" s="48"/>
      <c r="U87" s="48"/>
      <c r="V87" s="48"/>
      <c r="W87" s="48"/>
      <c r="X87" s="48"/>
      <c r="Y87" s="48"/>
      <c r="Z87" s="48"/>
      <c r="AA87" s="228"/>
    </row>
    <row r="88" spans="1:27" ht="12" customHeight="1" x14ac:dyDescent="0.2">
      <c r="A88" s="39"/>
      <c r="B88" s="39"/>
      <c r="C88" s="43"/>
      <c r="D88" s="43"/>
      <c r="E88" s="43"/>
      <c r="F88" s="132"/>
      <c r="G88" s="41" t="e">
        <f>VLOOKUP(F88,Pcode!A:B,2,FALSE)</f>
        <v>#N/A</v>
      </c>
      <c r="H88" s="41"/>
      <c r="I88" s="41" t="e">
        <f>VLOOKUP(H88,Pcode!C:D,2,FALSE)</f>
        <v>#N/A</v>
      </c>
      <c r="J88" s="41"/>
      <c r="K88" s="47"/>
      <c r="L88" s="47"/>
      <c r="M88" s="46"/>
      <c r="N88" s="53"/>
      <c r="O88" s="54"/>
      <c r="P88" s="54"/>
      <c r="Q88" s="54"/>
      <c r="R88" s="48"/>
      <c r="S88" s="48"/>
      <c r="T88" s="48"/>
      <c r="U88" s="48"/>
      <c r="V88" s="48"/>
      <c r="W88" s="48"/>
      <c r="X88" s="48"/>
      <c r="Y88" s="48"/>
      <c r="Z88" s="48"/>
      <c r="AA88" s="228"/>
    </row>
    <row r="89" spans="1:27" ht="12" customHeight="1" x14ac:dyDescent="0.2">
      <c r="A89" s="39"/>
      <c r="B89" s="39"/>
      <c r="C89" s="43"/>
      <c r="D89" s="43"/>
      <c r="E89" s="43"/>
      <c r="F89" s="132"/>
      <c r="G89" s="41" t="e">
        <f>VLOOKUP(F89,Pcode!A:B,2,FALSE)</f>
        <v>#N/A</v>
      </c>
      <c r="H89" s="41"/>
      <c r="I89" s="41" t="e">
        <f>VLOOKUP(H89,Pcode!C:D,2,FALSE)</f>
        <v>#N/A</v>
      </c>
      <c r="J89" s="41"/>
      <c r="K89" s="47"/>
      <c r="L89" s="47"/>
      <c r="M89" s="46"/>
      <c r="N89" s="53"/>
      <c r="O89" s="54"/>
      <c r="P89" s="54"/>
      <c r="Q89" s="54"/>
      <c r="R89" s="48"/>
      <c r="S89" s="48"/>
      <c r="T89" s="48"/>
      <c r="U89" s="48"/>
      <c r="V89" s="48"/>
      <c r="W89" s="48"/>
      <c r="X89" s="48"/>
      <c r="Y89" s="48"/>
      <c r="Z89" s="48"/>
      <c r="AA89" s="228"/>
    </row>
    <row r="90" spans="1:27" ht="12" customHeight="1" x14ac:dyDescent="0.2">
      <c r="A90" s="39"/>
      <c r="B90" s="39"/>
      <c r="C90" s="43"/>
      <c r="D90" s="43"/>
      <c r="E90" s="43"/>
      <c r="F90" s="132"/>
      <c r="G90" s="41" t="e">
        <f>VLOOKUP(F90,Pcode!A:B,2,FALSE)</f>
        <v>#N/A</v>
      </c>
      <c r="H90" s="41"/>
      <c r="I90" s="41" t="e">
        <f>VLOOKUP(H90,Pcode!C:D,2,FALSE)</f>
        <v>#N/A</v>
      </c>
      <c r="J90" s="41"/>
      <c r="K90" s="47"/>
      <c r="L90" s="47"/>
      <c r="M90" s="46"/>
      <c r="N90" s="53"/>
      <c r="O90" s="54"/>
      <c r="P90" s="54"/>
      <c r="Q90" s="54"/>
      <c r="R90" s="48"/>
      <c r="S90" s="48"/>
      <c r="T90" s="48"/>
      <c r="U90" s="48"/>
      <c r="V90" s="48"/>
      <c r="W90" s="48"/>
      <c r="X90" s="48"/>
      <c r="Y90" s="48"/>
      <c r="Z90" s="48"/>
      <c r="AA90" s="228"/>
    </row>
    <row r="91" spans="1:27" ht="12" customHeight="1" x14ac:dyDescent="0.2">
      <c r="A91" s="39"/>
      <c r="B91" s="39"/>
      <c r="C91" s="43"/>
      <c r="D91" s="43"/>
      <c r="E91" s="43"/>
      <c r="F91" s="132"/>
      <c r="G91" s="41" t="e">
        <f>VLOOKUP(F91,Pcode!A:B,2,FALSE)</f>
        <v>#N/A</v>
      </c>
      <c r="H91" s="41"/>
      <c r="I91" s="41" t="e">
        <f>VLOOKUP(H91,Pcode!C:D,2,FALSE)</f>
        <v>#N/A</v>
      </c>
      <c r="J91" s="41"/>
      <c r="K91" s="47"/>
      <c r="L91" s="47"/>
      <c r="M91" s="46"/>
      <c r="N91" s="53"/>
      <c r="O91" s="54"/>
      <c r="P91" s="54"/>
      <c r="Q91" s="54"/>
      <c r="R91" s="48"/>
      <c r="S91" s="48"/>
      <c r="T91" s="48"/>
      <c r="U91" s="48"/>
      <c r="V91" s="48"/>
      <c r="W91" s="48"/>
      <c r="X91" s="48"/>
      <c r="Y91" s="48"/>
      <c r="Z91" s="48"/>
      <c r="AA91" s="228"/>
    </row>
    <row r="92" spans="1:27" ht="12" customHeight="1" x14ac:dyDescent="0.2">
      <c r="A92" s="39"/>
      <c r="B92" s="39"/>
      <c r="C92" s="43"/>
      <c r="D92" s="43"/>
      <c r="E92" s="43"/>
      <c r="F92" s="132"/>
      <c r="G92" s="41" t="e">
        <f>VLOOKUP(F92,Pcode!A:B,2,FALSE)</f>
        <v>#N/A</v>
      </c>
      <c r="H92" s="41"/>
      <c r="I92" s="41" t="e">
        <f>VLOOKUP(H92,Pcode!C:D,2,FALSE)</f>
        <v>#N/A</v>
      </c>
      <c r="J92" s="41"/>
      <c r="K92" s="47"/>
      <c r="L92" s="47"/>
      <c r="M92" s="46"/>
      <c r="N92" s="53"/>
      <c r="O92" s="54"/>
      <c r="P92" s="54"/>
      <c r="Q92" s="54"/>
      <c r="R92" s="48"/>
      <c r="S92" s="48"/>
      <c r="T92" s="48"/>
      <c r="U92" s="48"/>
      <c r="V92" s="48"/>
      <c r="W92" s="48"/>
      <c r="X92" s="48"/>
      <c r="Y92" s="48"/>
      <c r="Z92" s="48"/>
      <c r="AA92" s="228"/>
    </row>
    <row r="93" spans="1:27" ht="12" customHeight="1" x14ac:dyDescent="0.2">
      <c r="A93" s="39"/>
      <c r="B93" s="39"/>
      <c r="C93" s="43"/>
      <c r="D93" s="43"/>
      <c r="E93" s="43"/>
      <c r="F93" s="132"/>
      <c r="G93" s="41" t="e">
        <f>VLOOKUP(F93,Pcode!A:B,2,FALSE)</f>
        <v>#N/A</v>
      </c>
      <c r="H93" s="41"/>
      <c r="I93" s="41" t="e">
        <f>VLOOKUP(H93,Pcode!C:D,2,FALSE)</f>
        <v>#N/A</v>
      </c>
      <c r="J93" s="41"/>
      <c r="K93" s="47"/>
      <c r="L93" s="47"/>
      <c r="M93" s="46"/>
      <c r="N93" s="53"/>
      <c r="O93" s="54"/>
      <c r="P93" s="54"/>
      <c r="Q93" s="54"/>
      <c r="R93" s="48"/>
      <c r="S93" s="48"/>
      <c r="T93" s="48"/>
      <c r="U93" s="48"/>
      <c r="V93" s="48"/>
      <c r="W93" s="48"/>
      <c r="X93" s="48"/>
      <c r="Y93" s="48"/>
      <c r="Z93" s="48"/>
      <c r="AA93" s="228"/>
    </row>
    <row r="94" spans="1:27" ht="12" customHeight="1" x14ac:dyDescent="0.2">
      <c r="A94" s="39"/>
      <c r="B94" s="39"/>
      <c r="C94" s="43"/>
      <c r="D94" s="43"/>
      <c r="E94" s="43"/>
      <c r="F94" s="132"/>
      <c r="G94" s="41" t="e">
        <f>VLOOKUP(F94,Pcode!A:B,2,FALSE)</f>
        <v>#N/A</v>
      </c>
      <c r="H94" s="41"/>
      <c r="I94" s="41" t="e">
        <f>VLOOKUP(H94,Pcode!C:D,2,FALSE)</f>
        <v>#N/A</v>
      </c>
      <c r="J94" s="41"/>
      <c r="K94" s="47"/>
      <c r="L94" s="47"/>
      <c r="M94" s="46"/>
      <c r="N94" s="53"/>
      <c r="O94" s="54"/>
      <c r="P94" s="54"/>
      <c r="Q94" s="54"/>
      <c r="R94" s="48"/>
      <c r="S94" s="48"/>
      <c r="T94" s="48"/>
      <c r="U94" s="48"/>
      <c r="V94" s="48"/>
      <c r="W94" s="48"/>
      <c r="X94" s="48"/>
      <c r="Y94" s="48"/>
      <c r="Z94" s="48"/>
      <c r="AA94" s="228"/>
    </row>
    <row r="95" spans="1:27" ht="12" customHeight="1" x14ac:dyDescent="0.2">
      <c r="A95" s="39"/>
      <c r="B95" s="39"/>
      <c r="C95" s="43"/>
      <c r="D95" s="43"/>
      <c r="E95" s="43"/>
      <c r="F95" s="132"/>
      <c r="G95" s="41" t="e">
        <f>VLOOKUP(F95,Pcode!A:B,2,FALSE)</f>
        <v>#N/A</v>
      </c>
      <c r="H95" s="41"/>
      <c r="I95" s="41" t="e">
        <f>VLOOKUP(H95,Pcode!C:D,2,FALSE)</f>
        <v>#N/A</v>
      </c>
      <c r="J95" s="41"/>
      <c r="K95" s="47"/>
      <c r="L95" s="47"/>
      <c r="M95" s="46"/>
      <c r="N95" s="53"/>
      <c r="O95" s="54"/>
      <c r="P95" s="54"/>
      <c r="Q95" s="54"/>
      <c r="R95" s="48"/>
      <c r="S95" s="48"/>
      <c r="T95" s="48"/>
      <c r="U95" s="48"/>
      <c r="V95" s="48"/>
      <c r="W95" s="48"/>
      <c r="X95" s="48"/>
      <c r="Y95" s="48"/>
      <c r="Z95" s="48"/>
      <c r="AA95" s="228"/>
    </row>
    <row r="96" spans="1:27" ht="12" customHeight="1" x14ac:dyDescent="0.2">
      <c r="A96" s="39"/>
      <c r="B96" s="39"/>
      <c r="C96" s="43"/>
      <c r="D96" s="43"/>
      <c r="E96" s="43"/>
      <c r="F96" s="132"/>
      <c r="G96" s="41" t="e">
        <f>VLOOKUP(F96,Pcode!A:B,2,FALSE)</f>
        <v>#N/A</v>
      </c>
      <c r="H96" s="41"/>
      <c r="I96" s="41" t="e">
        <f>VLOOKUP(H96,Pcode!C:D,2,FALSE)</f>
        <v>#N/A</v>
      </c>
      <c r="J96" s="41"/>
      <c r="K96" s="47"/>
      <c r="L96" s="47"/>
      <c r="M96" s="46"/>
      <c r="N96" s="53"/>
      <c r="O96" s="54"/>
      <c r="P96" s="54"/>
      <c r="Q96" s="54"/>
      <c r="R96" s="48"/>
      <c r="S96" s="48"/>
      <c r="T96" s="48"/>
      <c r="U96" s="48"/>
      <c r="V96" s="48"/>
      <c r="W96" s="48"/>
      <c r="X96" s="48"/>
      <c r="Y96" s="48"/>
      <c r="Z96" s="48"/>
      <c r="AA96" s="228"/>
    </row>
    <row r="97" spans="1:27" ht="12" customHeight="1" x14ac:dyDescent="0.2">
      <c r="A97" s="39"/>
      <c r="B97" s="39"/>
      <c r="C97" s="43"/>
      <c r="D97" s="43"/>
      <c r="E97" s="43"/>
      <c r="F97" s="132"/>
      <c r="G97" s="41" t="e">
        <f>VLOOKUP(F97,Pcode!A:B,2,FALSE)</f>
        <v>#N/A</v>
      </c>
      <c r="H97" s="41"/>
      <c r="I97" s="41" t="e">
        <f>VLOOKUP(H97,Pcode!C:D,2,FALSE)</f>
        <v>#N/A</v>
      </c>
      <c r="J97" s="41"/>
      <c r="K97" s="47"/>
      <c r="L97" s="47"/>
      <c r="M97" s="46"/>
      <c r="N97" s="53"/>
      <c r="O97" s="54"/>
      <c r="P97" s="54"/>
      <c r="Q97" s="54"/>
      <c r="R97" s="48"/>
      <c r="S97" s="48"/>
      <c r="T97" s="48"/>
      <c r="U97" s="48"/>
      <c r="V97" s="48"/>
      <c r="W97" s="48"/>
      <c r="X97" s="48"/>
      <c r="Y97" s="48"/>
      <c r="Z97" s="48"/>
      <c r="AA97" s="228"/>
    </row>
    <row r="98" spans="1:27" ht="12" customHeight="1" x14ac:dyDescent="0.2">
      <c r="A98" s="39"/>
      <c r="B98" s="39"/>
      <c r="C98" s="43"/>
      <c r="D98" s="43"/>
      <c r="E98" s="43"/>
      <c r="F98" s="132"/>
      <c r="G98" s="41" t="e">
        <f>VLOOKUP(F98,Pcode!A:B,2,FALSE)</f>
        <v>#N/A</v>
      </c>
      <c r="H98" s="41"/>
      <c r="I98" s="41" t="e">
        <f>VLOOKUP(H98,Pcode!C:D,2,FALSE)</f>
        <v>#N/A</v>
      </c>
      <c r="J98" s="41"/>
      <c r="K98" s="47"/>
      <c r="L98" s="47"/>
      <c r="M98" s="46"/>
      <c r="N98" s="53"/>
      <c r="O98" s="54"/>
      <c r="P98" s="54"/>
      <c r="Q98" s="54"/>
      <c r="R98" s="48"/>
      <c r="S98" s="48"/>
      <c r="T98" s="48"/>
      <c r="U98" s="48"/>
      <c r="V98" s="48"/>
      <c r="W98" s="48"/>
      <c r="X98" s="48"/>
      <c r="Y98" s="48"/>
      <c r="Z98" s="48"/>
      <c r="AA98" s="228"/>
    </row>
    <row r="99" spans="1:27" ht="12" customHeight="1" x14ac:dyDescent="0.2">
      <c r="A99" s="39"/>
      <c r="B99" s="39"/>
      <c r="C99" s="43"/>
      <c r="D99" s="43"/>
      <c r="E99" s="43"/>
      <c r="F99" s="132"/>
      <c r="G99" s="41" t="e">
        <f>VLOOKUP(F99,Pcode!A:B,2,FALSE)</f>
        <v>#N/A</v>
      </c>
      <c r="H99" s="41"/>
      <c r="I99" s="41" t="e">
        <f>VLOOKUP(H99,Pcode!C:D,2,FALSE)</f>
        <v>#N/A</v>
      </c>
      <c r="J99" s="41"/>
      <c r="K99" s="47"/>
      <c r="L99" s="47"/>
      <c r="M99" s="46"/>
      <c r="N99" s="53"/>
      <c r="O99" s="54"/>
      <c r="P99" s="54"/>
      <c r="Q99" s="54"/>
      <c r="R99" s="48"/>
      <c r="S99" s="48"/>
      <c r="T99" s="48"/>
      <c r="U99" s="48"/>
      <c r="V99" s="48"/>
      <c r="W99" s="48"/>
      <c r="X99" s="48"/>
      <c r="Y99" s="48"/>
      <c r="Z99" s="48"/>
      <c r="AA99" s="228"/>
    </row>
    <row r="100" spans="1:27" ht="12" customHeight="1" x14ac:dyDescent="0.2">
      <c r="A100" s="39"/>
      <c r="B100" s="39"/>
      <c r="C100" s="43"/>
      <c r="D100" s="43"/>
      <c r="E100" s="43"/>
      <c r="F100" s="132"/>
      <c r="G100" s="41" t="e">
        <f>VLOOKUP(F100,Pcode!A:B,2,FALSE)</f>
        <v>#N/A</v>
      </c>
      <c r="H100" s="41"/>
      <c r="I100" s="41" t="e">
        <f>VLOOKUP(H100,Pcode!C:D,2,FALSE)</f>
        <v>#N/A</v>
      </c>
      <c r="J100" s="41"/>
      <c r="K100" s="160"/>
      <c r="L100" s="160"/>
      <c r="M100" s="46"/>
      <c r="N100" s="136"/>
      <c r="O100" s="136"/>
      <c r="P100" s="136"/>
      <c r="Q100" s="136"/>
      <c r="R100" s="136"/>
      <c r="S100" s="136"/>
      <c r="T100" s="136"/>
      <c r="U100" s="136"/>
      <c r="V100" s="136"/>
      <c r="W100" s="136"/>
      <c r="X100" s="136"/>
      <c r="Y100" s="136"/>
      <c r="Z100" s="136"/>
      <c r="AA100" s="231"/>
    </row>
    <row r="101" spans="1:27" ht="12" customHeight="1" x14ac:dyDescent="0.2">
      <c r="A101" s="39"/>
      <c r="B101" s="39"/>
      <c r="C101" s="43"/>
      <c r="D101" s="43"/>
      <c r="E101" s="43"/>
      <c r="F101" s="132"/>
      <c r="G101" s="41" t="e">
        <f>VLOOKUP(F101,Pcode!A:B,2,FALSE)</f>
        <v>#N/A</v>
      </c>
      <c r="H101" s="41"/>
      <c r="I101" s="41" t="e">
        <f>VLOOKUP(H101,Pcode!C:D,2,FALSE)</f>
        <v>#N/A</v>
      </c>
      <c r="J101" s="41"/>
      <c r="K101" s="160"/>
      <c r="L101" s="160"/>
      <c r="M101" s="46"/>
      <c r="N101" s="136"/>
      <c r="O101" s="136"/>
      <c r="P101" s="136"/>
      <c r="Q101" s="136"/>
      <c r="R101" s="136"/>
      <c r="S101" s="136"/>
      <c r="T101" s="136"/>
      <c r="U101" s="136"/>
      <c r="V101" s="136"/>
      <c r="W101" s="136"/>
      <c r="X101" s="136"/>
      <c r="Y101" s="136"/>
      <c r="Z101" s="136"/>
      <c r="AA101" s="231"/>
    </row>
    <row r="102" spans="1:27" ht="12" customHeight="1" x14ac:dyDescent="0.2">
      <c r="A102" s="39"/>
      <c r="B102" s="39"/>
      <c r="C102" s="43"/>
      <c r="D102" s="43"/>
      <c r="E102" s="43"/>
      <c r="F102" s="132"/>
      <c r="G102" s="41" t="e">
        <f>VLOOKUP(F102,Pcode!A:B,2,FALSE)</f>
        <v>#N/A</v>
      </c>
      <c r="H102" s="41"/>
      <c r="I102" s="41" t="e">
        <f>VLOOKUP(H102,Pcode!C:D,2,FALSE)</f>
        <v>#N/A</v>
      </c>
      <c r="J102" s="41"/>
      <c r="K102" s="160"/>
      <c r="L102" s="160"/>
      <c r="M102" s="46"/>
      <c r="N102" s="136"/>
      <c r="O102" s="136"/>
      <c r="P102" s="136"/>
      <c r="Q102" s="136"/>
      <c r="R102" s="136"/>
      <c r="S102" s="136"/>
      <c r="T102" s="136"/>
      <c r="U102" s="136"/>
      <c r="V102" s="136"/>
      <c r="W102" s="136"/>
      <c r="X102" s="136"/>
      <c r="Y102" s="136"/>
      <c r="Z102" s="136"/>
      <c r="AA102" s="231"/>
    </row>
    <row r="103" spans="1:27" ht="12" customHeight="1" x14ac:dyDescent="0.2">
      <c r="A103" s="39"/>
      <c r="B103" s="39"/>
      <c r="C103" s="43"/>
      <c r="D103" s="43"/>
      <c r="E103" s="43"/>
      <c r="F103" s="132"/>
      <c r="G103" s="41" t="e">
        <f>VLOOKUP(F103,Pcode!A:B,2,FALSE)</f>
        <v>#N/A</v>
      </c>
      <c r="H103" s="41"/>
      <c r="I103" s="41" t="e">
        <f>VLOOKUP(H103,Pcode!C:D,2,FALSE)</f>
        <v>#N/A</v>
      </c>
      <c r="J103" s="41"/>
      <c r="K103" s="160"/>
      <c r="L103" s="160"/>
      <c r="M103" s="46"/>
      <c r="N103" s="136"/>
      <c r="O103" s="136"/>
      <c r="P103" s="136"/>
      <c r="Q103" s="136"/>
      <c r="R103" s="136"/>
      <c r="S103" s="136"/>
      <c r="T103" s="136"/>
      <c r="U103" s="136"/>
      <c r="V103" s="136"/>
      <c r="W103" s="136"/>
      <c r="X103" s="136"/>
      <c r="Y103" s="136"/>
      <c r="Z103" s="136"/>
      <c r="AA103" s="231"/>
    </row>
    <row r="104" spans="1:27" ht="12" customHeight="1" x14ac:dyDescent="0.2">
      <c r="A104" s="39"/>
      <c r="B104" s="39"/>
      <c r="C104" s="43"/>
      <c r="D104" s="43"/>
      <c r="E104" s="43"/>
      <c r="F104" s="132"/>
      <c r="G104" s="41" t="e">
        <f>VLOOKUP(F104,Pcode!A:B,2,FALSE)</f>
        <v>#N/A</v>
      </c>
      <c r="H104" s="41"/>
      <c r="I104" s="41" t="e">
        <f>VLOOKUP(H104,Pcode!C:D,2,FALSE)</f>
        <v>#N/A</v>
      </c>
      <c r="J104" s="41"/>
      <c r="K104" s="160"/>
      <c r="L104" s="160"/>
      <c r="M104" s="46"/>
      <c r="N104" s="136"/>
      <c r="O104" s="136"/>
      <c r="P104" s="136"/>
      <c r="Q104" s="136"/>
      <c r="R104" s="136"/>
      <c r="S104" s="136"/>
      <c r="T104" s="136"/>
      <c r="U104" s="136"/>
      <c r="V104" s="136"/>
      <c r="W104" s="136"/>
      <c r="X104" s="136"/>
      <c r="Y104" s="136"/>
      <c r="Z104" s="136"/>
      <c r="AA104" s="231"/>
    </row>
    <row r="105" spans="1:27" ht="12" customHeight="1" x14ac:dyDescent="0.2">
      <c r="A105" s="39"/>
      <c r="B105" s="39"/>
      <c r="C105" s="43"/>
      <c r="D105" s="43"/>
      <c r="E105" s="43"/>
      <c r="F105" s="132"/>
      <c r="G105" s="41" t="e">
        <f>VLOOKUP(F105,Pcode!A:B,2,FALSE)</f>
        <v>#N/A</v>
      </c>
      <c r="H105" s="41"/>
      <c r="I105" s="41" t="e">
        <f>VLOOKUP(H105,Pcode!C:D,2,FALSE)</f>
        <v>#N/A</v>
      </c>
      <c r="J105" s="41"/>
      <c r="K105" s="160"/>
      <c r="L105" s="160"/>
      <c r="M105" s="46"/>
      <c r="N105" s="136"/>
      <c r="O105" s="136"/>
      <c r="P105" s="136"/>
      <c r="Q105" s="136"/>
      <c r="R105" s="136"/>
      <c r="S105" s="136"/>
      <c r="T105" s="136"/>
      <c r="U105" s="136"/>
      <c r="V105" s="136"/>
      <c r="W105" s="136"/>
      <c r="X105" s="136"/>
      <c r="Y105" s="136"/>
      <c r="Z105" s="136"/>
      <c r="AA105" s="231"/>
    </row>
    <row r="106" spans="1:27" ht="12" customHeight="1" x14ac:dyDescent="0.2">
      <c r="A106" s="39"/>
      <c r="B106" s="39"/>
      <c r="C106" s="43"/>
      <c r="D106" s="43"/>
      <c r="E106" s="43"/>
      <c r="F106" s="132"/>
      <c r="G106" s="41" t="e">
        <f>VLOOKUP(F106,Pcode!A:B,2,FALSE)</f>
        <v>#N/A</v>
      </c>
      <c r="H106" s="41"/>
      <c r="I106" s="41" t="e">
        <f>VLOOKUP(H106,Pcode!C:D,2,FALSE)</f>
        <v>#N/A</v>
      </c>
      <c r="J106" s="41"/>
      <c r="K106" s="160"/>
      <c r="L106" s="160"/>
      <c r="M106" s="46"/>
      <c r="N106" s="136"/>
      <c r="O106" s="136"/>
      <c r="P106" s="136"/>
      <c r="Q106" s="136"/>
      <c r="R106" s="136"/>
      <c r="S106" s="136"/>
      <c r="T106" s="136"/>
      <c r="U106" s="136"/>
      <c r="V106" s="136"/>
      <c r="W106" s="136"/>
      <c r="X106" s="136"/>
      <c r="Y106" s="136"/>
      <c r="Z106" s="136"/>
      <c r="AA106" s="231"/>
    </row>
    <row r="107" spans="1:27" ht="12" customHeight="1" x14ac:dyDescent="0.2">
      <c r="A107" s="39"/>
      <c r="B107" s="39"/>
      <c r="C107" s="43"/>
      <c r="D107" s="43"/>
      <c r="E107" s="43"/>
      <c r="F107" s="132"/>
      <c r="G107" s="41" t="e">
        <f>VLOOKUP(F107,Pcode!A:B,2,FALSE)</f>
        <v>#N/A</v>
      </c>
      <c r="H107" s="41"/>
      <c r="I107" s="41" t="e">
        <f>VLOOKUP(H107,Pcode!C:D,2,FALSE)</f>
        <v>#N/A</v>
      </c>
      <c r="J107" s="41"/>
      <c r="K107" s="160"/>
      <c r="L107" s="160"/>
      <c r="M107" s="46"/>
      <c r="N107" s="136"/>
      <c r="O107" s="136"/>
      <c r="P107" s="136"/>
      <c r="Q107" s="136"/>
      <c r="R107" s="136"/>
      <c r="S107" s="136"/>
      <c r="T107" s="136"/>
      <c r="U107" s="136"/>
      <c r="V107" s="136"/>
      <c r="W107" s="136"/>
      <c r="X107" s="136"/>
      <c r="Y107" s="136"/>
      <c r="Z107" s="136"/>
      <c r="AA107" s="231"/>
    </row>
    <row r="108" spans="1:27" ht="12" customHeight="1" x14ac:dyDescent="0.2">
      <c r="A108" s="39"/>
      <c r="B108" s="39"/>
      <c r="C108" s="43"/>
      <c r="D108" s="43"/>
      <c r="E108" s="43"/>
      <c r="F108" s="132"/>
      <c r="G108" s="41" t="e">
        <f>VLOOKUP(F108,Pcode!A:B,2,FALSE)</f>
        <v>#N/A</v>
      </c>
      <c r="H108" s="41"/>
      <c r="I108" s="41" t="e">
        <f>VLOOKUP(H108,Pcode!C:D,2,FALSE)</f>
        <v>#N/A</v>
      </c>
      <c r="J108" s="41"/>
      <c r="K108" s="160"/>
      <c r="L108" s="160"/>
      <c r="M108" s="46"/>
      <c r="N108" s="136"/>
      <c r="O108" s="136"/>
      <c r="P108" s="136"/>
      <c r="Q108" s="136"/>
      <c r="R108" s="136"/>
      <c r="S108" s="136"/>
      <c r="T108" s="136"/>
      <c r="U108" s="136"/>
      <c r="V108" s="136"/>
      <c r="W108" s="136"/>
      <c r="X108" s="136"/>
      <c r="Y108" s="136"/>
      <c r="Z108" s="136"/>
      <c r="AA108" s="231"/>
    </row>
    <row r="109" spans="1:27" ht="12" customHeight="1" x14ac:dyDescent="0.2">
      <c r="A109" s="39"/>
      <c r="B109" s="39"/>
      <c r="C109" s="43"/>
      <c r="D109" s="43"/>
      <c r="E109" s="43"/>
      <c r="F109" s="132"/>
      <c r="G109" s="41" t="e">
        <f>VLOOKUP(F109,Pcode!A:B,2,FALSE)</f>
        <v>#N/A</v>
      </c>
      <c r="H109" s="41"/>
      <c r="I109" s="41" t="e">
        <f>VLOOKUP(H109,Pcode!C:D,2,FALSE)</f>
        <v>#N/A</v>
      </c>
      <c r="J109" s="41"/>
      <c r="K109" s="160"/>
      <c r="L109" s="160"/>
      <c r="M109" s="46"/>
      <c r="N109" s="136"/>
      <c r="O109" s="136"/>
      <c r="P109" s="136"/>
      <c r="Q109" s="136"/>
      <c r="R109" s="136"/>
      <c r="S109" s="136"/>
      <c r="T109" s="136"/>
      <c r="U109" s="136"/>
      <c r="V109" s="136"/>
      <c r="W109" s="136"/>
      <c r="X109" s="136"/>
      <c r="Y109" s="136"/>
      <c r="Z109" s="136"/>
      <c r="AA109" s="231"/>
    </row>
    <row r="110" spans="1:27" ht="12" customHeight="1" x14ac:dyDescent="0.2">
      <c r="A110" s="39"/>
      <c r="B110" s="39"/>
      <c r="C110" s="43"/>
      <c r="D110" s="43"/>
      <c r="E110" s="43"/>
      <c r="F110" s="132"/>
      <c r="G110" s="41" t="e">
        <f>VLOOKUP(F110,Pcode!A:B,2,FALSE)</f>
        <v>#N/A</v>
      </c>
      <c r="H110" s="41"/>
      <c r="I110" s="41" t="e">
        <f>VLOOKUP(H110,Pcode!C:D,2,FALSE)</f>
        <v>#N/A</v>
      </c>
      <c r="J110" s="41"/>
      <c r="K110" s="160"/>
      <c r="L110" s="160"/>
      <c r="M110" s="46"/>
      <c r="N110" s="136"/>
      <c r="O110" s="136"/>
      <c r="P110" s="136"/>
      <c r="Q110" s="136"/>
      <c r="R110" s="136"/>
      <c r="S110" s="136"/>
      <c r="T110" s="136"/>
      <c r="U110" s="136"/>
      <c r="V110" s="136"/>
      <c r="W110" s="136"/>
      <c r="X110" s="136"/>
      <c r="Y110" s="136"/>
      <c r="Z110" s="136"/>
      <c r="AA110" s="231"/>
    </row>
    <row r="111" spans="1:27" ht="12" customHeight="1" x14ac:dyDescent="0.2">
      <c r="A111" s="39"/>
      <c r="B111" s="39"/>
      <c r="C111" s="43"/>
      <c r="D111" s="43"/>
      <c r="E111" s="43"/>
      <c r="F111" s="132"/>
      <c r="G111" s="41" t="e">
        <f>VLOOKUP(F111,Pcode!A:B,2,FALSE)</f>
        <v>#N/A</v>
      </c>
      <c r="H111" s="41"/>
      <c r="I111" s="41" t="e">
        <f>VLOOKUP(H111,Pcode!C:D,2,FALSE)</f>
        <v>#N/A</v>
      </c>
      <c r="J111" s="41"/>
      <c r="K111" s="160"/>
      <c r="L111" s="160"/>
      <c r="M111" s="46"/>
      <c r="N111" s="136"/>
      <c r="O111" s="136"/>
      <c r="P111" s="136"/>
      <c r="Q111" s="136"/>
      <c r="R111" s="136"/>
      <c r="S111" s="136"/>
      <c r="T111" s="136"/>
      <c r="U111" s="136"/>
      <c r="V111" s="136"/>
      <c r="W111" s="136"/>
      <c r="X111" s="136"/>
      <c r="Y111" s="136"/>
      <c r="Z111" s="136"/>
      <c r="AA111" s="231"/>
    </row>
    <row r="112" spans="1:27" ht="12" customHeight="1" x14ac:dyDescent="0.2">
      <c r="A112" s="39"/>
      <c r="B112" s="39"/>
      <c r="C112" s="43"/>
      <c r="D112" s="43"/>
      <c r="E112" s="43"/>
      <c r="F112" s="132"/>
      <c r="G112" s="41" t="e">
        <f>VLOOKUP(F112,Pcode!A:B,2,FALSE)</f>
        <v>#N/A</v>
      </c>
      <c r="H112" s="41"/>
      <c r="I112" s="41" t="e">
        <f>VLOOKUP(H112,Pcode!C:D,2,FALSE)</f>
        <v>#N/A</v>
      </c>
      <c r="J112" s="41"/>
      <c r="K112" s="160"/>
      <c r="L112" s="160"/>
      <c r="M112" s="46"/>
      <c r="N112" s="136"/>
      <c r="O112" s="136"/>
      <c r="P112" s="136"/>
      <c r="Q112" s="136"/>
      <c r="R112" s="136"/>
      <c r="S112" s="136"/>
      <c r="T112" s="136"/>
      <c r="U112" s="136"/>
      <c r="V112" s="136"/>
      <c r="W112" s="136"/>
      <c r="X112" s="136"/>
      <c r="Y112" s="136"/>
      <c r="Z112" s="136"/>
      <c r="AA112" s="231"/>
    </row>
    <row r="113" spans="1:27" ht="12" customHeight="1" x14ac:dyDescent="0.2">
      <c r="A113" s="39"/>
      <c r="B113" s="39"/>
      <c r="C113" s="43"/>
      <c r="D113" s="43"/>
      <c r="E113" s="43"/>
      <c r="F113" s="132"/>
      <c r="G113" s="41" t="e">
        <f>VLOOKUP(F113,Pcode!A:B,2,FALSE)</f>
        <v>#N/A</v>
      </c>
      <c r="H113" s="41"/>
      <c r="I113" s="41" t="e">
        <f>VLOOKUP(H113,Pcode!C:D,2,FALSE)</f>
        <v>#N/A</v>
      </c>
      <c r="J113" s="41"/>
      <c r="K113" s="160"/>
      <c r="L113" s="160"/>
      <c r="M113" s="46"/>
      <c r="N113" s="136"/>
      <c r="O113" s="136"/>
      <c r="P113" s="136"/>
      <c r="Q113" s="136"/>
      <c r="R113" s="136"/>
      <c r="S113" s="136"/>
      <c r="T113" s="136"/>
      <c r="U113" s="136"/>
      <c r="V113" s="136"/>
      <c r="W113" s="136"/>
      <c r="X113" s="136"/>
      <c r="Y113" s="136"/>
      <c r="Z113" s="136"/>
      <c r="AA113" s="231"/>
    </row>
    <row r="114" spans="1:27" ht="12" customHeight="1" x14ac:dyDescent="0.2">
      <c r="A114" s="39"/>
      <c r="B114" s="39"/>
      <c r="C114" s="43"/>
      <c r="D114" s="43"/>
      <c r="E114" s="43"/>
      <c r="F114" s="132"/>
      <c r="G114" s="41" t="e">
        <f>VLOOKUP(F114,Pcode!A:B,2,FALSE)</f>
        <v>#N/A</v>
      </c>
      <c r="H114" s="41"/>
      <c r="I114" s="41" t="e">
        <f>VLOOKUP(H114,Pcode!C:D,2,FALSE)</f>
        <v>#N/A</v>
      </c>
      <c r="J114" s="41"/>
      <c r="K114" s="160"/>
      <c r="L114" s="160"/>
      <c r="M114" s="46"/>
      <c r="N114" s="136"/>
      <c r="O114" s="136"/>
      <c r="P114" s="136"/>
      <c r="Q114" s="136"/>
      <c r="R114" s="136"/>
      <c r="S114" s="136"/>
      <c r="T114" s="136"/>
      <c r="U114" s="136"/>
      <c r="V114" s="136"/>
      <c r="W114" s="136"/>
      <c r="X114" s="136"/>
      <c r="Y114" s="136"/>
      <c r="Z114" s="136"/>
      <c r="AA114" s="231"/>
    </row>
    <row r="115" spans="1:27" ht="12" customHeight="1" x14ac:dyDescent="0.2">
      <c r="A115" s="39"/>
      <c r="B115" s="39"/>
      <c r="C115" s="43"/>
      <c r="D115" s="43"/>
      <c r="E115" s="43"/>
      <c r="F115" s="132"/>
      <c r="G115" s="41" t="e">
        <f>VLOOKUP(F115,Pcode!A:B,2,FALSE)</f>
        <v>#N/A</v>
      </c>
      <c r="H115" s="41"/>
      <c r="I115" s="41" t="e">
        <f>VLOOKUP(H115,Pcode!C:D,2,FALSE)</f>
        <v>#N/A</v>
      </c>
      <c r="J115" s="41"/>
      <c r="K115" s="160"/>
      <c r="L115" s="160"/>
      <c r="M115" s="46"/>
      <c r="N115" s="136"/>
      <c r="O115" s="136"/>
      <c r="P115" s="136"/>
      <c r="Q115" s="136"/>
      <c r="R115" s="136"/>
      <c r="S115" s="136"/>
      <c r="T115" s="136"/>
      <c r="U115" s="136"/>
      <c r="V115" s="136"/>
      <c r="W115" s="136"/>
      <c r="X115" s="136"/>
      <c r="Y115" s="136"/>
      <c r="Z115" s="136"/>
      <c r="AA115" s="231"/>
    </row>
    <row r="116" spans="1:27" ht="12" customHeight="1" x14ac:dyDescent="0.2">
      <c r="A116" s="39"/>
      <c r="B116" s="39"/>
      <c r="C116" s="43"/>
      <c r="D116" s="43"/>
      <c r="E116" s="43"/>
      <c r="F116" s="132"/>
      <c r="G116" s="41" t="e">
        <f>VLOOKUP(F116,Pcode!A:B,2,FALSE)</f>
        <v>#N/A</v>
      </c>
      <c r="H116" s="41"/>
      <c r="I116" s="41" t="e">
        <f>VLOOKUP(H116,Pcode!C:D,2,FALSE)</f>
        <v>#N/A</v>
      </c>
      <c r="J116" s="41"/>
      <c r="K116" s="160"/>
      <c r="L116" s="160"/>
      <c r="M116" s="46"/>
      <c r="N116" s="136"/>
      <c r="O116" s="136"/>
      <c r="P116" s="136"/>
      <c r="Q116" s="136"/>
      <c r="R116" s="136"/>
      <c r="S116" s="136"/>
      <c r="T116" s="136"/>
      <c r="U116" s="136"/>
      <c r="V116" s="136"/>
      <c r="W116" s="136"/>
      <c r="X116" s="136"/>
      <c r="Y116" s="136"/>
      <c r="Z116" s="136"/>
      <c r="AA116" s="231"/>
    </row>
    <row r="117" spans="1:27" ht="12" customHeight="1" x14ac:dyDescent="0.2">
      <c r="A117" s="39"/>
      <c r="B117" s="39"/>
      <c r="C117" s="43"/>
      <c r="D117" s="43"/>
      <c r="E117" s="43"/>
      <c r="F117" s="132"/>
      <c r="G117" s="41" t="e">
        <f>VLOOKUP(F117,Pcode!A:B,2,FALSE)</f>
        <v>#N/A</v>
      </c>
      <c r="H117" s="41"/>
      <c r="I117" s="41" t="e">
        <f>VLOOKUP(H117,Pcode!C:D,2,FALSE)</f>
        <v>#N/A</v>
      </c>
      <c r="J117" s="41"/>
      <c r="K117" s="160"/>
      <c r="L117" s="160"/>
      <c r="M117" s="46"/>
      <c r="N117" s="136"/>
      <c r="O117" s="136"/>
      <c r="P117" s="136"/>
      <c r="Q117" s="136"/>
      <c r="R117" s="136"/>
      <c r="S117" s="136"/>
      <c r="T117" s="136"/>
      <c r="U117" s="136"/>
      <c r="V117" s="136"/>
      <c r="W117" s="136"/>
      <c r="X117" s="136"/>
      <c r="Y117" s="136"/>
      <c r="Z117" s="136"/>
      <c r="AA117" s="231"/>
    </row>
    <row r="118" spans="1:27" ht="12" customHeight="1" x14ac:dyDescent="0.2">
      <c r="A118" s="39"/>
      <c r="B118" s="39"/>
      <c r="C118" s="43"/>
      <c r="D118" s="43"/>
      <c r="E118" s="43"/>
      <c r="F118" s="132"/>
      <c r="G118" s="41" t="e">
        <f>VLOOKUP(F118,Pcode!A:B,2,FALSE)</f>
        <v>#N/A</v>
      </c>
      <c r="H118" s="41"/>
      <c r="I118" s="41" t="e">
        <f>VLOOKUP(H118,Pcode!C:D,2,FALSE)</f>
        <v>#N/A</v>
      </c>
      <c r="J118" s="41"/>
      <c r="K118" s="160"/>
      <c r="L118" s="160"/>
      <c r="M118" s="46"/>
      <c r="N118" s="136"/>
      <c r="O118" s="136"/>
      <c r="P118" s="136"/>
      <c r="Q118" s="136"/>
      <c r="R118" s="136"/>
      <c r="S118" s="136"/>
      <c r="T118" s="136"/>
      <c r="U118" s="136"/>
      <c r="V118" s="136"/>
      <c r="W118" s="136"/>
      <c r="X118" s="136"/>
      <c r="Y118" s="136"/>
      <c r="Z118" s="136"/>
      <c r="AA118" s="231"/>
    </row>
    <row r="119" spans="1:27" ht="12" customHeight="1" x14ac:dyDescent="0.2">
      <c r="A119" s="39"/>
      <c r="B119" s="39"/>
      <c r="C119" s="43"/>
      <c r="D119" s="43"/>
      <c r="E119" s="43"/>
      <c r="F119" s="132"/>
      <c r="G119" s="41" t="e">
        <f>VLOOKUP(F119,Pcode!A:B,2,FALSE)</f>
        <v>#N/A</v>
      </c>
      <c r="H119" s="41"/>
      <c r="I119" s="41" t="e">
        <f>VLOOKUP(H119,Pcode!C:D,2,FALSE)</f>
        <v>#N/A</v>
      </c>
      <c r="J119" s="41"/>
      <c r="K119" s="160"/>
      <c r="L119" s="160"/>
      <c r="M119" s="46"/>
      <c r="N119" s="136"/>
      <c r="O119" s="136"/>
      <c r="P119" s="136"/>
      <c r="Q119" s="136"/>
      <c r="R119" s="136"/>
      <c r="S119" s="136"/>
      <c r="T119" s="136"/>
      <c r="U119" s="136"/>
      <c r="V119" s="136"/>
      <c r="W119" s="136"/>
      <c r="X119" s="136"/>
      <c r="Y119" s="136"/>
      <c r="Z119" s="136"/>
      <c r="AA119" s="231"/>
    </row>
    <row r="120" spans="1:27" ht="12" customHeight="1" x14ac:dyDescent="0.2">
      <c r="A120" s="39"/>
      <c r="B120" s="39"/>
      <c r="C120" s="43"/>
      <c r="D120" s="43"/>
      <c r="E120" s="43"/>
      <c r="F120" s="132"/>
      <c r="G120" s="41" t="e">
        <f>VLOOKUP(F120,Pcode!A:B,2,FALSE)</f>
        <v>#N/A</v>
      </c>
      <c r="H120" s="41"/>
      <c r="I120" s="41" t="e">
        <f>VLOOKUP(H120,Pcode!C:D,2,FALSE)</f>
        <v>#N/A</v>
      </c>
      <c r="J120" s="41"/>
      <c r="K120" s="160"/>
      <c r="L120" s="160"/>
      <c r="M120" s="46"/>
      <c r="N120" s="136"/>
      <c r="O120" s="136"/>
      <c r="P120" s="136"/>
      <c r="Q120" s="136"/>
      <c r="R120" s="136"/>
      <c r="S120" s="136"/>
      <c r="T120" s="136"/>
      <c r="U120" s="136"/>
      <c r="V120" s="136"/>
      <c r="W120" s="136"/>
      <c r="X120" s="136"/>
      <c r="Y120" s="136"/>
      <c r="Z120" s="136"/>
      <c r="AA120" s="231"/>
    </row>
    <row r="121" spans="1:27" ht="12" customHeight="1" x14ac:dyDescent="0.2">
      <c r="A121" s="39"/>
      <c r="B121" s="39"/>
      <c r="C121" s="43"/>
      <c r="D121" s="43"/>
      <c r="E121" s="43"/>
      <c r="F121" s="132"/>
      <c r="G121" s="41" t="e">
        <f>VLOOKUP(F121,Pcode!A:B,2,FALSE)</f>
        <v>#N/A</v>
      </c>
      <c r="H121" s="41"/>
      <c r="I121" s="41" t="e">
        <f>VLOOKUP(H121,Pcode!C:D,2,FALSE)</f>
        <v>#N/A</v>
      </c>
      <c r="J121" s="41"/>
      <c r="K121" s="160"/>
      <c r="L121" s="160"/>
      <c r="M121" s="46"/>
      <c r="N121" s="136"/>
      <c r="O121" s="136"/>
      <c r="P121" s="136"/>
      <c r="Q121" s="136"/>
      <c r="R121" s="136"/>
      <c r="S121" s="136"/>
      <c r="T121" s="136"/>
      <c r="U121" s="136"/>
      <c r="V121" s="136"/>
      <c r="W121" s="136"/>
      <c r="X121" s="136"/>
      <c r="Y121" s="136"/>
      <c r="Z121" s="136"/>
      <c r="AA121" s="231"/>
    </row>
    <row r="122" spans="1:27" ht="12" customHeight="1" x14ac:dyDescent="0.2">
      <c r="A122" s="39"/>
      <c r="B122" s="39"/>
      <c r="C122" s="43"/>
      <c r="D122" s="43"/>
      <c r="E122" s="43"/>
      <c r="F122" s="132"/>
      <c r="G122" s="41" t="e">
        <f>VLOOKUP(F122,Pcode!A:B,2,FALSE)</f>
        <v>#N/A</v>
      </c>
      <c r="H122" s="41"/>
      <c r="I122" s="41" t="e">
        <f>VLOOKUP(H122,Pcode!C:D,2,FALSE)</f>
        <v>#N/A</v>
      </c>
      <c r="J122" s="41"/>
      <c r="K122" s="160"/>
      <c r="L122" s="160"/>
      <c r="M122" s="46"/>
      <c r="N122" s="136"/>
      <c r="O122" s="136"/>
      <c r="P122" s="136"/>
      <c r="Q122" s="136"/>
      <c r="R122" s="136"/>
      <c r="S122" s="136"/>
      <c r="T122" s="136"/>
      <c r="U122" s="136"/>
      <c r="V122" s="136"/>
      <c r="W122" s="136"/>
      <c r="X122" s="136"/>
      <c r="Y122" s="136"/>
      <c r="Z122" s="136"/>
      <c r="AA122" s="231"/>
    </row>
    <row r="123" spans="1:27" ht="12" customHeight="1" x14ac:dyDescent="0.2">
      <c r="A123" s="39"/>
      <c r="B123" s="39"/>
      <c r="C123" s="43"/>
      <c r="D123" s="43"/>
      <c r="E123" s="43"/>
      <c r="F123" s="132"/>
      <c r="G123" s="41" t="e">
        <f>VLOOKUP(F123,Pcode!A:B,2,FALSE)</f>
        <v>#N/A</v>
      </c>
      <c r="H123" s="41"/>
      <c r="I123" s="41" t="e">
        <f>VLOOKUP(H123,Pcode!C:D,2,FALSE)</f>
        <v>#N/A</v>
      </c>
      <c r="J123" s="41"/>
      <c r="K123" s="160"/>
      <c r="L123" s="160"/>
      <c r="M123" s="46"/>
      <c r="N123" s="136"/>
      <c r="O123" s="136"/>
      <c r="P123" s="136"/>
      <c r="Q123" s="136"/>
      <c r="R123" s="136"/>
      <c r="S123" s="136"/>
      <c r="T123" s="136"/>
      <c r="U123" s="136"/>
      <c r="V123" s="136"/>
      <c r="W123" s="136"/>
      <c r="X123" s="136"/>
      <c r="Y123" s="136"/>
      <c r="Z123" s="136"/>
      <c r="AA123" s="231"/>
    </row>
    <row r="124" spans="1:27" ht="12" customHeight="1" x14ac:dyDescent="0.2">
      <c r="A124" s="39"/>
      <c r="B124" s="39"/>
      <c r="C124" s="43"/>
      <c r="D124" s="43"/>
      <c r="E124" s="43"/>
      <c r="F124" s="132"/>
      <c r="G124" s="41" t="e">
        <f>VLOOKUP(F124,Pcode!A:B,2,FALSE)</f>
        <v>#N/A</v>
      </c>
      <c r="H124" s="41"/>
      <c r="I124" s="41" t="e">
        <f>VLOOKUP(H124,Pcode!C:D,2,FALSE)</f>
        <v>#N/A</v>
      </c>
      <c r="J124" s="41"/>
      <c r="K124" s="160"/>
      <c r="L124" s="160"/>
      <c r="M124" s="46"/>
      <c r="N124" s="136"/>
      <c r="O124" s="136"/>
      <c r="P124" s="136"/>
      <c r="Q124" s="136"/>
      <c r="R124" s="136"/>
      <c r="S124" s="136"/>
      <c r="T124" s="136"/>
      <c r="U124" s="136"/>
      <c r="V124" s="136"/>
      <c r="W124" s="136"/>
      <c r="X124" s="136"/>
      <c r="Y124" s="136"/>
      <c r="Z124" s="136"/>
      <c r="AA124" s="231"/>
    </row>
    <row r="125" spans="1:27" ht="12" customHeight="1" x14ac:dyDescent="0.2">
      <c r="A125" s="39"/>
      <c r="B125" s="39"/>
      <c r="C125" s="43"/>
      <c r="D125" s="43"/>
      <c r="E125" s="43"/>
      <c r="F125" s="132"/>
      <c r="G125" s="41" t="e">
        <f>VLOOKUP(F125,Pcode!A:B,2,FALSE)</f>
        <v>#N/A</v>
      </c>
      <c r="H125" s="41"/>
      <c r="I125" s="41" t="e">
        <f>VLOOKUP(H125,Pcode!C:D,2,FALSE)</f>
        <v>#N/A</v>
      </c>
      <c r="J125" s="41"/>
      <c r="K125" s="160"/>
      <c r="L125" s="160"/>
      <c r="M125" s="46"/>
      <c r="N125" s="136"/>
      <c r="O125" s="136"/>
      <c r="P125" s="136"/>
      <c r="Q125" s="136"/>
      <c r="R125" s="136"/>
      <c r="S125" s="136"/>
      <c r="T125" s="136"/>
      <c r="U125" s="136"/>
      <c r="V125" s="136"/>
      <c r="W125" s="136"/>
      <c r="X125" s="136"/>
      <c r="Y125" s="136"/>
      <c r="Z125" s="136"/>
      <c r="AA125" s="231"/>
    </row>
    <row r="126" spans="1:27" ht="12" customHeight="1" x14ac:dyDescent="0.2">
      <c r="A126" s="39"/>
      <c r="B126" s="39"/>
      <c r="C126" s="43"/>
      <c r="D126" s="43"/>
      <c r="E126" s="43"/>
      <c r="F126" s="132"/>
      <c r="G126" s="41" t="e">
        <f>VLOOKUP(F126,Pcode!A:B,2,FALSE)</f>
        <v>#N/A</v>
      </c>
      <c r="H126" s="41"/>
      <c r="I126" s="41" t="e">
        <f>VLOOKUP(H126,Pcode!C:D,2,FALSE)</f>
        <v>#N/A</v>
      </c>
      <c r="J126" s="41"/>
      <c r="K126" s="160"/>
      <c r="L126" s="160"/>
      <c r="M126" s="46"/>
      <c r="N126" s="136"/>
      <c r="O126" s="136"/>
      <c r="P126" s="136"/>
      <c r="Q126" s="136"/>
      <c r="R126" s="136"/>
      <c r="S126" s="136"/>
      <c r="T126" s="136"/>
      <c r="U126" s="136"/>
      <c r="V126" s="136"/>
      <c r="W126" s="136"/>
      <c r="X126" s="136"/>
      <c r="Y126" s="136"/>
      <c r="Z126" s="136"/>
      <c r="AA126" s="231"/>
    </row>
    <row r="127" spans="1:27" ht="12" customHeight="1" x14ac:dyDescent="0.2">
      <c r="A127" s="39"/>
      <c r="B127" s="39"/>
      <c r="C127" s="43"/>
      <c r="D127" s="43"/>
      <c r="E127" s="43"/>
      <c r="F127" s="132"/>
      <c r="G127" s="41" t="e">
        <f>VLOOKUP(F127,Pcode!A:B,2,FALSE)</f>
        <v>#N/A</v>
      </c>
      <c r="H127" s="41"/>
      <c r="I127" s="41" t="e">
        <f>VLOOKUP(H127,Pcode!C:D,2,FALSE)</f>
        <v>#N/A</v>
      </c>
      <c r="J127" s="41"/>
      <c r="K127" s="160"/>
      <c r="L127" s="160"/>
      <c r="M127" s="46"/>
      <c r="N127" s="136"/>
      <c r="O127" s="136"/>
      <c r="P127" s="136"/>
      <c r="Q127" s="136"/>
      <c r="R127" s="136"/>
      <c r="S127" s="136"/>
      <c r="T127" s="136"/>
      <c r="U127" s="136"/>
      <c r="V127" s="136"/>
      <c r="W127" s="136"/>
      <c r="X127" s="136"/>
      <c r="Y127" s="136"/>
      <c r="Z127" s="136"/>
      <c r="AA127" s="231"/>
    </row>
    <row r="128" spans="1:27" ht="12" customHeight="1" x14ac:dyDescent="0.2">
      <c r="A128" s="39"/>
      <c r="B128" s="39"/>
      <c r="C128" s="43"/>
      <c r="D128" s="43"/>
      <c r="E128" s="43"/>
      <c r="F128" s="132"/>
      <c r="G128" s="41" t="e">
        <f>VLOOKUP(F128,Pcode!A:B,2,FALSE)</f>
        <v>#N/A</v>
      </c>
      <c r="H128" s="41"/>
      <c r="I128" s="41" t="e">
        <f>VLOOKUP(H128,Pcode!C:D,2,FALSE)</f>
        <v>#N/A</v>
      </c>
      <c r="J128" s="41"/>
      <c r="K128" s="160"/>
      <c r="L128" s="160"/>
      <c r="M128" s="46"/>
      <c r="N128" s="136"/>
      <c r="O128" s="136"/>
      <c r="P128" s="136"/>
      <c r="Q128" s="136"/>
      <c r="R128" s="136"/>
      <c r="S128" s="136"/>
      <c r="T128" s="136"/>
      <c r="U128" s="136"/>
      <c r="V128" s="136"/>
      <c r="W128" s="136"/>
      <c r="X128" s="136"/>
      <c r="Y128" s="136"/>
      <c r="Z128" s="136"/>
      <c r="AA128" s="231"/>
    </row>
    <row r="129" spans="1:27" ht="12" customHeight="1" x14ac:dyDescent="0.2">
      <c r="A129" s="39"/>
      <c r="B129" s="39"/>
      <c r="C129" s="43"/>
      <c r="D129" s="43"/>
      <c r="E129" s="43"/>
      <c r="F129" s="132"/>
      <c r="G129" s="41" t="e">
        <f>VLOOKUP(F129,Pcode!A:B,2,FALSE)</f>
        <v>#N/A</v>
      </c>
      <c r="H129" s="41"/>
      <c r="I129" s="41" t="e">
        <f>VLOOKUP(H129,Pcode!C:D,2,FALSE)</f>
        <v>#N/A</v>
      </c>
      <c r="J129" s="41"/>
      <c r="K129" s="160"/>
      <c r="L129" s="160"/>
      <c r="M129" s="46"/>
      <c r="N129" s="136"/>
      <c r="O129" s="136"/>
      <c r="P129" s="136"/>
      <c r="Q129" s="136"/>
      <c r="R129" s="136"/>
      <c r="S129" s="136"/>
      <c r="T129" s="136"/>
      <c r="U129" s="136"/>
      <c r="V129" s="136"/>
      <c r="W129" s="136"/>
      <c r="X129" s="136"/>
      <c r="Y129" s="136"/>
      <c r="Z129" s="136"/>
      <c r="AA129" s="231"/>
    </row>
    <row r="130" spans="1:27" ht="12" customHeight="1" x14ac:dyDescent="0.2">
      <c r="A130" s="39"/>
      <c r="B130" s="39"/>
      <c r="C130" s="43"/>
      <c r="D130" s="43"/>
      <c r="E130" s="43"/>
      <c r="F130" s="132"/>
      <c r="G130" s="41" t="e">
        <f>VLOOKUP(F130,Pcode!A:B,2,FALSE)</f>
        <v>#N/A</v>
      </c>
      <c r="H130" s="41"/>
      <c r="I130" s="41" t="e">
        <f>VLOOKUP(H130,Pcode!C:D,2,FALSE)</f>
        <v>#N/A</v>
      </c>
      <c r="J130" s="41"/>
      <c r="K130" s="160"/>
      <c r="L130" s="160"/>
      <c r="M130" s="46"/>
      <c r="N130" s="136"/>
      <c r="O130" s="136"/>
      <c r="P130" s="136"/>
      <c r="Q130" s="136"/>
      <c r="R130" s="136"/>
      <c r="S130" s="136"/>
      <c r="T130" s="136"/>
      <c r="U130" s="136"/>
      <c r="V130" s="136"/>
      <c r="W130" s="136"/>
      <c r="X130" s="136"/>
      <c r="Y130" s="136"/>
      <c r="Z130" s="136"/>
      <c r="AA130" s="231"/>
    </row>
    <row r="131" spans="1:27" ht="12" customHeight="1" x14ac:dyDescent="0.2">
      <c r="A131" s="39"/>
      <c r="B131" s="39"/>
      <c r="C131" s="43"/>
      <c r="D131" s="43"/>
      <c r="E131" s="43"/>
      <c r="F131" s="132"/>
      <c r="G131" s="41" t="e">
        <f>VLOOKUP(F131,Pcode!A:B,2,FALSE)</f>
        <v>#N/A</v>
      </c>
      <c r="H131" s="41"/>
      <c r="I131" s="41" t="e">
        <f>VLOOKUP(H131,Pcode!C:D,2,FALSE)</f>
        <v>#N/A</v>
      </c>
      <c r="J131" s="41"/>
      <c r="K131" s="160"/>
      <c r="L131" s="160"/>
      <c r="M131" s="46"/>
      <c r="N131" s="136"/>
      <c r="O131" s="136"/>
      <c r="P131" s="136"/>
      <c r="Q131" s="136"/>
      <c r="R131" s="136"/>
      <c r="S131" s="136"/>
      <c r="T131" s="136"/>
      <c r="U131" s="136"/>
      <c r="V131" s="136"/>
      <c r="W131" s="136"/>
      <c r="X131" s="136"/>
      <c r="Y131" s="136"/>
      <c r="Z131" s="136"/>
      <c r="AA131" s="231"/>
    </row>
    <row r="132" spans="1:27" ht="12" customHeight="1" x14ac:dyDescent="0.2">
      <c r="A132" s="39"/>
      <c r="B132" s="39"/>
      <c r="C132" s="43"/>
      <c r="D132" s="43"/>
      <c r="E132" s="43"/>
      <c r="F132" s="132"/>
      <c r="G132" s="41" t="e">
        <f>VLOOKUP(F132,Pcode!A:B,2,FALSE)</f>
        <v>#N/A</v>
      </c>
      <c r="H132" s="41"/>
      <c r="I132" s="41" t="e">
        <f>VLOOKUP(H132,Pcode!C:D,2,FALSE)</f>
        <v>#N/A</v>
      </c>
      <c r="J132" s="41"/>
      <c r="K132" s="160"/>
      <c r="L132" s="160"/>
      <c r="M132" s="46"/>
      <c r="N132" s="136"/>
      <c r="O132" s="136"/>
      <c r="P132" s="136"/>
      <c r="Q132" s="136"/>
      <c r="R132" s="136"/>
      <c r="S132" s="136"/>
      <c r="T132" s="136"/>
      <c r="U132" s="136"/>
      <c r="V132" s="136"/>
      <c r="W132" s="136"/>
      <c r="X132" s="136"/>
      <c r="Y132" s="136"/>
      <c r="Z132" s="136"/>
      <c r="AA132" s="231"/>
    </row>
    <row r="133" spans="1:27" ht="12" customHeight="1" x14ac:dyDescent="0.2">
      <c r="A133" s="39"/>
      <c r="B133" s="39"/>
      <c r="C133" s="43"/>
      <c r="D133" s="43"/>
      <c r="E133" s="43"/>
      <c r="F133" s="132"/>
      <c r="G133" s="41" t="e">
        <f>VLOOKUP(F133,Pcode!A:B,2,FALSE)</f>
        <v>#N/A</v>
      </c>
      <c r="H133" s="41"/>
      <c r="I133" s="41" t="e">
        <f>VLOOKUP(H133,Pcode!C:D,2,FALSE)</f>
        <v>#N/A</v>
      </c>
      <c r="J133" s="41"/>
      <c r="K133" s="160"/>
      <c r="L133" s="160"/>
      <c r="M133" s="46"/>
      <c r="N133" s="136"/>
      <c r="O133" s="136"/>
      <c r="P133" s="136"/>
      <c r="Q133" s="136"/>
      <c r="R133" s="136"/>
      <c r="S133" s="136"/>
      <c r="T133" s="136"/>
      <c r="U133" s="136"/>
      <c r="V133" s="136"/>
      <c r="W133" s="136"/>
      <c r="X133" s="136"/>
      <c r="Y133" s="136"/>
      <c r="Z133" s="136"/>
      <c r="AA133" s="231"/>
    </row>
    <row r="134" spans="1:27" ht="12" customHeight="1" x14ac:dyDescent="0.2">
      <c r="A134" s="39"/>
      <c r="B134" s="39"/>
      <c r="C134" s="43"/>
      <c r="D134" s="43"/>
      <c r="E134" s="43"/>
      <c r="F134" s="132"/>
      <c r="G134" s="41" t="e">
        <f>VLOOKUP(F134,Pcode!A:B,2,FALSE)</f>
        <v>#N/A</v>
      </c>
      <c r="H134" s="41"/>
      <c r="I134" s="41" t="e">
        <f>VLOOKUP(H134,Pcode!C:D,2,FALSE)</f>
        <v>#N/A</v>
      </c>
      <c r="J134" s="41"/>
      <c r="K134" s="160"/>
      <c r="L134" s="160"/>
      <c r="M134" s="46"/>
      <c r="N134" s="136"/>
      <c r="O134" s="136"/>
      <c r="P134" s="136"/>
      <c r="Q134" s="136"/>
      <c r="R134" s="136"/>
      <c r="S134" s="136"/>
      <c r="T134" s="136"/>
      <c r="U134" s="136"/>
      <c r="V134" s="136"/>
      <c r="W134" s="136"/>
      <c r="X134" s="136"/>
      <c r="Y134" s="136"/>
      <c r="Z134" s="136"/>
      <c r="AA134" s="231"/>
    </row>
    <row r="135" spans="1:27" ht="12" customHeight="1" x14ac:dyDescent="0.2">
      <c r="A135" s="39"/>
      <c r="B135" s="39"/>
      <c r="C135" s="43"/>
      <c r="D135" s="43"/>
      <c r="E135" s="43"/>
      <c r="F135" s="132"/>
      <c r="G135" s="41" t="e">
        <f>VLOOKUP(F135,Pcode!A:B,2,FALSE)</f>
        <v>#N/A</v>
      </c>
      <c r="H135" s="41"/>
      <c r="I135" s="41" t="e">
        <f>VLOOKUP(H135,Pcode!C:D,2,FALSE)</f>
        <v>#N/A</v>
      </c>
      <c r="J135" s="41"/>
      <c r="K135" s="160"/>
      <c r="L135" s="160"/>
      <c r="M135" s="46"/>
      <c r="N135" s="136"/>
      <c r="O135" s="136"/>
      <c r="P135" s="136"/>
      <c r="Q135" s="136"/>
      <c r="R135" s="136"/>
      <c r="S135" s="136"/>
      <c r="T135" s="136"/>
      <c r="U135" s="136"/>
      <c r="V135" s="136"/>
      <c r="W135" s="136"/>
      <c r="X135" s="136"/>
      <c r="Y135" s="136"/>
      <c r="Z135" s="136"/>
      <c r="AA135" s="231"/>
    </row>
    <row r="136" spans="1:27" ht="12" customHeight="1" x14ac:dyDescent="0.2">
      <c r="A136" s="39"/>
      <c r="B136" s="39"/>
      <c r="C136" s="43"/>
      <c r="D136" s="43"/>
      <c r="E136" s="43"/>
      <c r="F136" s="132"/>
      <c r="G136" s="41" t="e">
        <f>VLOOKUP(F136,Pcode!A:B,2,FALSE)</f>
        <v>#N/A</v>
      </c>
      <c r="H136" s="41"/>
      <c r="I136" s="41" t="e">
        <f>VLOOKUP(H136,Pcode!C:D,2,FALSE)</f>
        <v>#N/A</v>
      </c>
      <c r="J136" s="41"/>
      <c r="K136" s="160"/>
      <c r="L136" s="160"/>
      <c r="M136" s="46"/>
      <c r="N136" s="136"/>
      <c r="O136" s="136"/>
      <c r="P136" s="136"/>
      <c r="Q136" s="136"/>
      <c r="R136" s="136"/>
      <c r="S136" s="136"/>
      <c r="T136" s="136"/>
      <c r="U136" s="136"/>
      <c r="V136" s="136"/>
      <c r="W136" s="136"/>
      <c r="X136" s="136"/>
      <c r="Y136" s="136"/>
      <c r="Z136" s="136"/>
      <c r="AA136" s="231"/>
    </row>
    <row r="137" spans="1:27" ht="12" customHeight="1" x14ac:dyDescent="0.2">
      <c r="A137" s="39"/>
      <c r="B137" s="39"/>
      <c r="C137" s="43"/>
      <c r="D137" s="43"/>
      <c r="E137" s="43"/>
      <c r="F137" s="132"/>
      <c r="G137" s="41" t="e">
        <f>VLOOKUP(F137,Pcode!A:B,2,FALSE)</f>
        <v>#N/A</v>
      </c>
      <c r="H137" s="41"/>
      <c r="I137" s="41" t="e">
        <f>VLOOKUP(H137,Pcode!C:D,2,FALSE)</f>
        <v>#N/A</v>
      </c>
      <c r="J137" s="41"/>
      <c r="K137" s="160"/>
      <c r="L137" s="160"/>
      <c r="M137" s="46"/>
      <c r="N137" s="136"/>
      <c r="O137" s="136"/>
      <c r="P137" s="136"/>
      <c r="Q137" s="136"/>
      <c r="R137" s="136"/>
      <c r="S137" s="136"/>
      <c r="T137" s="136"/>
      <c r="U137" s="136"/>
      <c r="V137" s="136"/>
      <c r="W137" s="136"/>
      <c r="X137" s="136"/>
      <c r="Y137" s="136"/>
      <c r="Z137" s="136"/>
      <c r="AA137" s="231"/>
    </row>
    <row r="138" spans="1:27" ht="12" customHeight="1" x14ac:dyDescent="0.2">
      <c r="A138" s="39"/>
      <c r="B138" s="39"/>
      <c r="C138" s="43"/>
      <c r="D138" s="43"/>
      <c r="E138" s="43"/>
      <c r="F138" s="132"/>
      <c r="G138" s="41" t="e">
        <f>VLOOKUP(F138,Pcode!A:B,2,FALSE)</f>
        <v>#N/A</v>
      </c>
      <c r="H138" s="41"/>
      <c r="I138" s="41" t="e">
        <f>VLOOKUP(H138,Pcode!C:D,2,FALSE)</f>
        <v>#N/A</v>
      </c>
      <c r="J138" s="41"/>
      <c r="K138" s="160"/>
      <c r="L138" s="160"/>
      <c r="M138" s="46"/>
      <c r="N138" s="136"/>
      <c r="O138" s="136"/>
      <c r="P138" s="136"/>
      <c r="Q138" s="136"/>
      <c r="R138" s="136"/>
      <c r="S138" s="136"/>
      <c r="T138" s="136"/>
      <c r="U138" s="136"/>
      <c r="V138" s="136"/>
      <c r="W138" s="136"/>
      <c r="X138" s="136"/>
      <c r="Y138" s="136"/>
      <c r="Z138" s="136"/>
      <c r="AA138" s="231"/>
    </row>
    <row r="139" spans="1:27" ht="12" customHeight="1" x14ac:dyDescent="0.2">
      <c r="A139" s="39"/>
      <c r="B139" s="39"/>
      <c r="C139" s="43"/>
      <c r="D139" s="43"/>
      <c r="E139" s="43"/>
      <c r="F139" s="132"/>
      <c r="G139" s="41" t="e">
        <f>VLOOKUP(F139,Pcode!A:B,2,FALSE)</f>
        <v>#N/A</v>
      </c>
      <c r="H139" s="41"/>
      <c r="I139" s="41" t="e">
        <f>VLOOKUP(H139,Pcode!C:D,2,FALSE)</f>
        <v>#N/A</v>
      </c>
      <c r="J139" s="41"/>
      <c r="K139" s="160"/>
      <c r="L139" s="160"/>
      <c r="M139" s="46"/>
      <c r="N139" s="136"/>
      <c r="O139" s="136"/>
      <c r="P139" s="136"/>
      <c r="Q139" s="136"/>
      <c r="R139" s="136"/>
      <c r="S139" s="136"/>
      <c r="T139" s="136"/>
      <c r="U139" s="136"/>
      <c r="V139" s="136"/>
      <c r="W139" s="136"/>
      <c r="X139" s="136"/>
      <c r="Y139" s="136"/>
      <c r="Z139" s="136"/>
      <c r="AA139" s="231"/>
    </row>
    <row r="140" spans="1:27" ht="12" customHeight="1" x14ac:dyDescent="0.2">
      <c r="A140" s="39"/>
      <c r="B140" s="39"/>
      <c r="C140" s="43"/>
      <c r="D140" s="43"/>
      <c r="E140" s="43"/>
      <c r="F140" s="132"/>
      <c r="G140" s="41" t="e">
        <f>VLOOKUP(F140,Pcode!A:B,2,FALSE)</f>
        <v>#N/A</v>
      </c>
      <c r="H140" s="41"/>
      <c r="I140" s="41" t="e">
        <f>VLOOKUP(H140,Pcode!C:D,2,FALSE)</f>
        <v>#N/A</v>
      </c>
      <c r="J140" s="41"/>
      <c r="K140" s="160"/>
      <c r="L140" s="160"/>
      <c r="M140" s="46"/>
      <c r="N140" s="136"/>
      <c r="O140" s="136"/>
      <c r="P140" s="136"/>
      <c r="Q140" s="136"/>
      <c r="R140" s="136"/>
      <c r="S140" s="136"/>
      <c r="T140" s="136"/>
      <c r="U140" s="136"/>
      <c r="V140" s="136"/>
      <c r="W140" s="136"/>
      <c r="X140" s="136"/>
      <c r="Y140" s="136"/>
      <c r="Z140" s="136"/>
      <c r="AA140" s="231"/>
    </row>
    <row r="141" spans="1:27" ht="12" customHeight="1" x14ac:dyDescent="0.2">
      <c r="A141" s="39"/>
      <c r="B141" s="39"/>
      <c r="C141" s="43"/>
      <c r="D141" s="43"/>
      <c r="E141" s="43"/>
      <c r="F141" s="132"/>
      <c r="G141" s="41" t="e">
        <f>VLOOKUP(F141,Pcode!A:B,2,FALSE)</f>
        <v>#N/A</v>
      </c>
      <c r="H141" s="41"/>
      <c r="I141" s="41" t="e">
        <f>VLOOKUP(H141,Pcode!C:D,2,FALSE)</f>
        <v>#N/A</v>
      </c>
      <c r="J141" s="41"/>
      <c r="K141" s="160"/>
      <c r="L141" s="160"/>
      <c r="M141" s="46"/>
      <c r="N141" s="136"/>
      <c r="O141" s="136"/>
      <c r="P141" s="136"/>
      <c r="Q141" s="136"/>
      <c r="R141" s="136"/>
      <c r="S141" s="136"/>
      <c r="T141" s="136"/>
      <c r="U141" s="136"/>
      <c r="V141" s="136"/>
      <c r="W141" s="136"/>
      <c r="X141" s="136"/>
      <c r="Y141" s="136"/>
      <c r="Z141" s="136"/>
      <c r="AA141" s="231"/>
    </row>
    <row r="142" spans="1:27" ht="12" customHeight="1" x14ac:dyDescent="0.2">
      <c r="A142" s="39"/>
      <c r="B142" s="39"/>
      <c r="C142" s="43"/>
      <c r="D142" s="43"/>
      <c r="E142" s="43"/>
      <c r="F142" s="132"/>
      <c r="G142" s="41" t="e">
        <f>VLOOKUP(F142,Pcode!A:B,2,FALSE)</f>
        <v>#N/A</v>
      </c>
      <c r="H142" s="41"/>
      <c r="I142" s="41" t="e">
        <f>VLOOKUP(H142,Pcode!C:D,2,FALSE)</f>
        <v>#N/A</v>
      </c>
      <c r="J142" s="41"/>
      <c r="K142" s="160"/>
      <c r="L142" s="160"/>
      <c r="M142" s="46"/>
      <c r="N142" s="136"/>
      <c r="O142" s="136"/>
      <c r="P142" s="136"/>
      <c r="Q142" s="136"/>
      <c r="R142" s="136"/>
      <c r="S142" s="136"/>
      <c r="T142" s="136"/>
      <c r="U142" s="136"/>
      <c r="V142" s="136"/>
      <c r="W142" s="136"/>
      <c r="X142" s="136"/>
      <c r="Y142" s="136"/>
      <c r="Z142" s="136"/>
      <c r="AA142" s="231"/>
    </row>
    <row r="143" spans="1:27" ht="12" customHeight="1" x14ac:dyDescent="0.2">
      <c r="A143" s="39"/>
      <c r="B143" s="39"/>
      <c r="C143" s="43"/>
      <c r="D143" s="43"/>
      <c r="E143" s="43"/>
      <c r="F143" s="132"/>
      <c r="G143" s="41" t="e">
        <f>VLOOKUP(F143,Pcode!A:B,2,FALSE)</f>
        <v>#N/A</v>
      </c>
      <c r="H143" s="41"/>
      <c r="I143" s="41" t="e">
        <f>VLOOKUP(H143,Pcode!C:D,2,FALSE)</f>
        <v>#N/A</v>
      </c>
      <c r="J143" s="41"/>
      <c r="K143" s="160"/>
      <c r="L143" s="160"/>
      <c r="M143" s="46"/>
      <c r="N143" s="136"/>
      <c r="O143" s="136"/>
      <c r="P143" s="136"/>
      <c r="Q143" s="136"/>
      <c r="R143" s="136"/>
      <c r="S143" s="136"/>
      <c r="T143" s="136"/>
      <c r="U143" s="136"/>
      <c r="V143" s="136"/>
      <c r="W143" s="136"/>
      <c r="X143" s="136"/>
      <c r="Y143" s="136"/>
      <c r="Z143" s="136"/>
      <c r="AA143" s="231"/>
    </row>
    <row r="144" spans="1:27" ht="12" customHeight="1" x14ac:dyDescent="0.2">
      <c r="A144" s="39"/>
      <c r="B144" s="39"/>
      <c r="C144" s="43"/>
      <c r="D144" s="43"/>
      <c r="E144" s="43"/>
      <c r="F144" s="132"/>
      <c r="G144" s="41" t="e">
        <f>VLOOKUP(F144,Pcode!A:B,2,FALSE)</f>
        <v>#N/A</v>
      </c>
      <c r="H144" s="41"/>
      <c r="I144" s="41" t="e">
        <f>VLOOKUP(H144,Pcode!C:D,2,FALSE)</f>
        <v>#N/A</v>
      </c>
      <c r="J144" s="41"/>
      <c r="K144" s="160"/>
      <c r="L144" s="160"/>
      <c r="M144" s="46"/>
      <c r="N144" s="136"/>
      <c r="O144" s="136"/>
      <c r="P144" s="136"/>
      <c r="Q144" s="136"/>
      <c r="R144" s="136"/>
      <c r="S144" s="136"/>
      <c r="T144" s="136"/>
      <c r="U144" s="136"/>
      <c r="V144" s="136"/>
      <c r="W144" s="136"/>
      <c r="X144" s="136"/>
      <c r="Y144" s="136"/>
      <c r="Z144" s="136"/>
      <c r="AA144" s="231"/>
    </row>
    <row r="145" spans="1:27" x14ac:dyDescent="0.2">
      <c r="A145" s="39"/>
      <c r="B145" s="39"/>
      <c r="C145" s="43"/>
      <c r="D145" s="43"/>
      <c r="E145" s="43"/>
      <c r="F145" s="132"/>
      <c r="G145" s="41" t="e">
        <f>VLOOKUP(F145,Pcode!A:B,2,FALSE)</f>
        <v>#N/A</v>
      </c>
      <c r="H145" s="41"/>
      <c r="I145" s="41" t="e">
        <f>VLOOKUP(H145,Pcode!C:D,2,FALSE)</f>
        <v>#N/A</v>
      </c>
      <c r="J145" s="41"/>
      <c r="K145" s="160"/>
      <c r="L145" s="160"/>
      <c r="M145" s="46"/>
      <c r="N145" s="136"/>
      <c r="O145" s="136"/>
      <c r="P145" s="136"/>
      <c r="Q145" s="136"/>
      <c r="R145" s="136"/>
      <c r="S145" s="136"/>
      <c r="T145" s="136"/>
      <c r="U145" s="136"/>
      <c r="V145" s="136"/>
      <c r="W145" s="136"/>
      <c r="X145" s="136"/>
      <c r="Y145" s="136"/>
      <c r="Z145" s="136"/>
      <c r="AA145" s="231"/>
    </row>
    <row r="146" spans="1:27" x14ac:dyDescent="0.2">
      <c r="A146" s="39"/>
      <c r="B146" s="39"/>
      <c r="C146" s="43"/>
      <c r="D146" s="43"/>
      <c r="E146" s="43"/>
      <c r="F146" s="132"/>
      <c r="G146" s="41" t="e">
        <f>VLOOKUP(F146,Pcode!A:B,2,FALSE)</f>
        <v>#N/A</v>
      </c>
      <c r="H146" s="41"/>
      <c r="I146" s="41" t="e">
        <f>VLOOKUP(H146,Pcode!C:D,2,FALSE)</f>
        <v>#N/A</v>
      </c>
      <c r="J146" s="41"/>
      <c r="K146" s="160"/>
      <c r="L146" s="160"/>
      <c r="M146" s="46"/>
      <c r="N146" s="136"/>
      <c r="O146" s="136"/>
      <c r="P146" s="136"/>
      <c r="Q146" s="136"/>
      <c r="R146" s="136"/>
      <c r="S146" s="136"/>
      <c r="T146" s="136"/>
      <c r="U146" s="136"/>
      <c r="V146" s="136"/>
      <c r="W146" s="136"/>
      <c r="X146" s="136"/>
      <c r="Y146" s="136"/>
      <c r="Z146" s="136"/>
      <c r="AA146" s="231"/>
    </row>
    <row r="147" spans="1:27" x14ac:dyDescent="0.2">
      <c r="A147" s="39"/>
      <c r="B147" s="39"/>
      <c r="C147" s="43"/>
      <c r="D147" s="43"/>
      <c r="E147" s="43"/>
      <c r="F147" s="132"/>
      <c r="G147" s="41" t="e">
        <f>VLOOKUP(F147,Pcode!A:B,2,FALSE)</f>
        <v>#N/A</v>
      </c>
      <c r="H147" s="41"/>
      <c r="I147" s="41" t="e">
        <f>VLOOKUP(H147,Pcode!C:D,2,FALSE)</f>
        <v>#N/A</v>
      </c>
      <c r="J147" s="41"/>
      <c r="K147" s="160"/>
      <c r="L147" s="160"/>
      <c r="M147" s="46"/>
      <c r="N147" s="136"/>
      <c r="O147" s="136"/>
      <c r="P147" s="136"/>
      <c r="Q147" s="136"/>
      <c r="R147" s="136"/>
      <c r="S147" s="136"/>
      <c r="T147" s="136"/>
      <c r="U147" s="136"/>
      <c r="V147" s="136"/>
      <c r="W147" s="136"/>
      <c r="X147" s="136"/>
      <c r="Y147" s="136"/>
      <c r="Z147" s="136"/>
      <c r="AA147" s="231"/>
    </row>
    <row r="148" spans="1:27" x14ac:dyDescent="0.2">
      <c r="A148" s="39"/>
      <c r="B148" s="39"/>
      <c r="C148" s="43"/>
      <c r="D148" s="43"/>
      <c r="E148" s="43"/>
      <c r="F148" s="132"/>
      <c r="G148" s="41" t="e">
        <f>VLOOKUP(F148,Pcode!A:B,2,FALSE)</f>
        <v>#N/A</v>
      </c>
      <c r="H148" s="41"/>
      <c r="I148" s="41" t="e">
        <f>VLOOKUP(H148,Pcode!C:D,2,FALSE)</f>
        <v>#N/A</v>
      </c>
      <c r="J148" s="41"/>
      <c r="K148" s="160"/>
      <c r="L148" s="160"/>
      <c r="M148" s="46"/>
      <c r="N148" s="136"/>
      <c r="O148" s="136"/>
      <c r="P148" s="136"/>
      <c r="Q148" s="136"/>
      <c r="R148" s="136"/>
      <c r="S148" s="136"/>
      <c r="T148" s="136"/>
      <c r="U148" s="136"/>
      <c r="V148" s="136"/>
      <c r="W148" s="136"/>
      <c r="X148" s="136"/>
      <c r="Y148" s="136"/>
      <c r="Z148" s="136"/>
      <c r="AA148" s="231"/>
    </row>
    <row r="149" spans="1:27" x14ac:dyDescent="0.2">
      <c r="A149" s="39"/>
      <c r="B149" s="39"/>
      <c r="C149" s="43"/>
      <c r="D149" s="43"/>
      <c r="E149" s="43"/>
      <c r="F149" s="132"/>
      <c r="G149" s="41" t="e">
        <f>VLOOKUP(F149,Pcode!A:B,2,FALSE)</f>
        <v>#N/A</v>
      </c>
      <c r="H149" s="41"/>
      <c r="I149" s="41" t="e">
        <f>VLOOKUP(H149,Pcode!C:D,2,FALSE)</f>
        <v>#N/A</v>
      </c>
      <c r="J149" s="41"/>
      <c r="K149" s="160"/>
      <c r="L149" s="160"/>
      <c r="M149" s="46"/>
      <c r="N149" s="136"/>
      <c r="O149" s="136"/>
      <c r="P149" s="136"/>
      <c r="Q149" s="136"/>
      <c r="R149" s="136"/>
      <c r="S149" s="136"/>
      <c r="T149" s="136"/>
      <c r="U149" s="136"/>
      <c r="V149" s="136"/>
      <c r="W149" s="136"/>
      <c r="X149" s="136"/>
      <c r="Y149" s="136"/>
      <c r="Z149" s="136"/>
      <c r="AA149" s="231"/>
    </row>
    <row r="150" spans="1:27" x14ac:dyDescent="0.2">
      <c r="A150" s="39"/>
      <c r="B150" s="39"/>
      <c r="C150" s="43"/>
      <c r="D150" s="43"/>
      <c r="E150" s="43"/>
      <c r="F150" s="132"/>
      <c r="G150" s="41" t="e">
        <f>VLOOKUP(F150,Pcode!A:B,2,FALSE)</f>
        <v>#N/A</v>
      </c>
      <c r="H150" s="41"/>
      <c r="I150" s="41" t="e">
        <f>VLOOKUP(H150,Pcode!C:D,2,FALSE)</f>
        <v>#N/A</v>
      </c>
      <c r="J150" s="41"/>
      <c r="K150" s="160"/>
      <c r="L150" s="160"/>
      <c r="M150" s="46"/>
      <c r="N150" s="136"/>
      <c r="O150" s="136"/>
      <c r="P150" s="136"/>
      <c r="Q150" s="136"/>
      <c r="R150" s="136"/>
      <c r="S150" s="136"/>
      <c r="T150" s="136"/>
      <c r="U150" s="136"/>
      <c r="V150" s="136"/>
      <c r="W150" s="136"/>
      <c r="X150" s="136"/>
      <c r="Y150" s="136"/>
      <c r="Z150" s="136"/>
      <c r="AA150" s="231"/>
    </row>
    <row r="151" spans="1:27" x14ac:dyDescent="0.2">
      <c r="A151" s="39"/>
      <c r="B151" s="39"/>
      <c r="C151" s="43"/>
      <c r="D151" s="43"/>
      <c r="E151" s="43"/>
      <c r="F151" s="132"/>
      <c r="G151" s="41" t="e">
        <f>VLOOKUP(F151,Pcode!A:B,2,FALSE)</f>
        <v>#N/A</v>
      </c>
      <c r="H151" s="41"/>
      <c r="I151" s="41" t="e">
        <f>VLOOKUP(H151,Pcode!C:D,2,FALSE)</f>
        <v>#N/A</v>
      </c>
      <c r="J151" s="41"/>
      <c r="K151" s="160"/>
      <c r="L151" s="160"/>
      <c r="M151" s="46"/>
      <c r="N151" s="136"/>
      <c r="O151" s="136"/>
      <c r="P151" s="136"/>
      <c r="Q151" s="136"/>
      <c r="R151" s="136"/>
      <c r="S151" s="136"/>
      <c r="T151" s="136"/>
      <c r="U151" s="136"/>
      <c r="V151" s="136"/>
      <c r="W151" s="136"/>
      <c r="X151" s="136"/>
      <c r="Y151" s="136"/>
      <c r="Z151" s="136"/>
      <c r="AA151" s="231"/>
    </row>
    <row r="152" spans="1:27" x14ac:dyDescent="0.2">
      <c r="A152" s="39"/>
      <c r="B152" s="39"/>
      <c r="C152" s="43"/>
      <c r="D152" s="43"/>
      <c r="E152" s="43"/>
      <c r="F152" s="132"/>
      <c r="G152" s="41" t="e">
        <f>VLOOKUP(F152,Pcode!A:B,2,FALSE)</f>
        <v>#N/A</v>
      </c>
      <c r="H152" s="41"/>
      <c r="I152" s="41" t="e">
        <f>VLOOKUP(H152,Pcode!C:D,2,FALSE)</f>
        <v>#N/A</v>
      </c>
      <c r="J152" s="41"/>
      <c r="K152" s="160"/>
      <c r="L152" s="160"/>
      <c r="M152" s="46"/>
      <c r="N152" s="136"/>
      <c r="O152" s="136"/>
      <c r="P152" s="136"/>
      <c r="Q152" s="136"/>
      <c r="R152" s="136"/>
      <c r="S152" s="136"/>
      <c r="T152" s="136"/>
      <c r="U152" s="136"/>
      <c r="V152" s="136"/>
      <c r="W152" s="136"/>
      <c r="X152" s="136"/>
      <c r="Y152" s="136"/>
      <c r="Z152" s="136"/>
      <c r="AA152" s="231"/>
    </row>
    <row r="153" spans="1:27" x14ac:dyDescent="0.2">
      <c r="A153" s="39"/>
      <c r="B153" s="39"/>
      <c r="C153" s="43"/>
      <c r="D153" s="43"/>
      <c r="E153" s="43"/>
      <c r="F153" s="132"/>
      <c r="G153" s="41" t="e">
        <f>VLOOKUP(F153,Pcode!A:B,2,FALSE)</f>
        <v>#N/A</v>
      </c>
      <c r="H153" s="41"/>
      <c r="I153" s="41" t="e">
        <f>VLOOKUP(H153,Pcode!C:D,2,FALSE)</f>
        <v>#N/A</v>
      </c>
      <c r="J153" s="41"/>
      <c r="K153" s="160"/>
      <c r="L153" s="160"/>
      <c r="M153" s="46"/>
      <c r="N153" s="136"/>
      <c r="O153" s="136"/>
      <c r="P153" s="136"/>
      <c r="Q153" s="136"/>
      <c r="R153" s="136"/>
      <c r="S153" s="136"/>
      <c r="T153" s="136"/>
      <c r="U153" s="136"/>
      <c r="V153" s="136"/>
      <c r="W153" s="136"/>
      <c r="X153" s="136"/>
      <c r="Y153" s="136"/>
      <c r="Z153" s="136"/>
      <c r="AA153" s="231"/>
    </row>
    <row r="154" spans="1:27" x14ac:dyDescent="0.2">
      <c r="A154" s="39"/>
      <c r="B154" s="39"/>
      <c r="C154" s="43"/>
      <c r="D154" s="43"/>
      <c r="E154" s="43"/>
      <c r="F154" s="132"/>
      <c r="G154" s="41" t="e">
        <f>VLOOKUP(F154,Pcode!A:B,2,FALSE)</f>
        <v>#N/A</v>
      </c>
      <c r="H154" s="41"/>
      <c r="I154" s="41" t="e">
        <f>VLOOKUP(H154,Pcode!C:D,2,FALSE)</f>
        <v>#N/A</v>
      </c>
      <c r="J154" s="41"/>
      <c r="K154" s="160"/>
      <c r="L154" s="160"/>
      <c r="M154" s="46"/>
      <c r="N154" s="136"/>
      <c r="O154" s="136"/>
      <c r="P154" s="136"/>
      <c r="Q154" s="136"/>
      <c r="R154" s="136"/>
      <c r="S154" s="136"/>
      <c r="T154" s="136"/>
      <c r="U154" s="136"/>
      <c r="V154" s="136"/>
      <c r="W154" s="136"/>
      <c r="X154" s="136"/>
      <c r="Y154" s="136"/>
      <c r="Z154" s="136"/>
      <c r="AA154" s="231"/>
    </row>
    <row r="155" spans="1:27" x14ac:dyDescent="0.2">
      <c r="A155" s="39"/>
      <c r="B155" s="39"/>
      <c r="C155" s="43"/>
      <c r="D155" s="43"/>
      <c r="E155" s="43"/>
      <c r="F155" s="132"/>
      <c r="G155" s="41" t="e">
        <f>VLOOKUP(F155,Pcode!A:B,2,FALSE)</f>
        <v>#N/A</v>
      </c>
      <c r="H155" s="41"/>
      <c r="I155" s="41" t="e">
        <f>VLOOKUP(H155,Pcode!C:D,2,FALSE)</f>
        <v>#N/A</v>
      </c>
      <c r="J155" s="41"/>
      <c r="K155" s="160"/>
      <c r="L155" s="160"/>
      <c r="M155" s="46"/>
      <c r="N155" s="136"/>
      <c r="O155" s="136"/>
      <c r="P155" s="136"/>
      <c r="Q155" s="136"/>
      <c r="R155" s="136"/>
      <c r="S155" s="136"/>
      <c r="T155" s="136"/>
      <c r="U155" s="136"/>
      <c r="V155" s="136"/>
      <c r="W155" s="136"/>
      <c r="X155" s="136"/>
      <c r="Y155" s="136"/>
      <c r="Z155" s="136"/>
      <c r="AA155" s="231"/>
    </row>
    <row r="156" spans="1:27" x14ac:dyDescent="0.2">
      <c r="A156" s="39"/>
      <c r="B156" s="39"/>
      <c r="C156" s="43"/>
      <c r="D156" s="43"/>
      <c r="E156" s="43"/>
      <c r="F156" s="132"/>
      <c r="G156" s="41" t="e">
        <f>VLOOKUP(F156,Pcode!A:B,2,FALSE)</f>
        <v>#N/A</v>
      </c>
      <c r="H156" s="41"/>
      <c r="I156" s="41" t="e">
        <f>VLOOKUP(H156,Pcode!C:D,2,FALSE)</f>
        <v>#N/A</v>
      </c>
      <c r="J156" s="41"/>
      <c r="K156" s="160"/>
      <c r="L156" s="160"/>
      <c r="M156" s="46"/>
      <c r="N156" s="136"/>
      <c r="O156" s="136"/>
      <c r="P156" s="136"/>
      <c r="Q156" s="136"/>
      <c r="R156" s="136"/>
      <c r="S156" s="136"/>
      <c r="T156" s="136"/>
      <c r="U156" s="136"/>
      <c r="V156" s="136"/>
      <c r="W156" s="136"/>
      <c r="X156" s="136"/>
      <c r="Y156" s="136"/>
      <c r="Z156" s="136"/>
      <c r="AA156" s="231"/>
    </row>
    <row r="157" spans="1:27" x14ac:dyDescent="0.2">
      <c r="A157" s="39"/>
      <c r="B157" s="39"/>
      <c r="C157" s="43"/>
      <c r="D157" s="43"/>
      <c r="E157" s="43"/>
      <c r="F157" s="132"/>
      <c r="G157" s="41" t="e">
        <f>VLOOKUP(F157,Pcode!A:B,2,FALSE)</f>
        <v>#N/A</v>
      </c>
      <c r="H157" s="41"/>
      <c r="I157" s="41" t="e">
        <f>VLOOKUP(H157,Pcode!C:D,2,FALSE)</f>
        <v>#N/A</v>
      </c>
      <c r="J157" s="41"/>
      <c r="K157" s="160"/>
      <c r="L157" s="160"/>
      <c r="M157" s="46"/>
      <c r="N157" s="136"/>
      <c r="O157" s="136"/>
      <c r="P157" s="136"/>
      <c r="Q157" s="136"/>
      <c r="R157" s="136"/>
      <c r="S157" s="136"/>
      <c r="T157" s="136"/>
      <c r="U157" s="136"/>
      <c r="V157" s="136"/>
      <c r="W157" s="136"/>
      <c r="X157" s="136"/>
      <c r="Y157" s="136"/>
      <c r="Z157" s="136"/>
      <c r="AA157" s="231"/>
    </row>
    <row r="158" spans="1:27" x14ac:dyDescent="0.2">
      <c r="A158" s="39"/>
      <c r="B158" s="39"/>
      <c r="C158" s="43"/>
      <c r="D158" s="43"/>
      <c r="E158" s="43"/>
      <c r="F158" s="132"/>
      <c r="G158" s="41" t="e">
        <f>VLOOKUP(F158,Pcode!A:B,2,FALSE)</f>
        <v>#N/A</v>
      </c>
      <c r="H158" s="41"/>
      <c r="I158" s="41" t="e">
        <f>VLOOKUP(H158,Pcode!C:D,2,FALSE)</f>
        <v>#N/A</v>
      </c>
      <c r="J158" s="41"/>
      <c r="K158" s="160"/>
      <c r="L158" s="160"/>
      <c r="M158" s="46"/>
      <c r="N158" s="136"/>
      <c r="O158" s="136"/>
      <c r="P158" s="136"/>
      <c r="Q158" s="136"/>
      <c r="R158" s="136"/>
      <c r="S158" s="136"/>
      <c r="T158" s="136"/>
      <c r="U158" s="136"/>
      <c r="V158" s="136"/>
      <c r="W158" s="136"/>
      <c r="X158" s="136"/>
      <c r="Y158" s="136"/>
      <c r="Z158" s="136"/>
      <c r="AA158" s="231"/>
    </row>
    <row r="159" spans="1:27" x14ac:dyDescent="0.2">
      <c r="A159" s="39"/>
      <c r="B159" s="39"/>
      <c r="C159" s="43"/>
      <c r="D159" s="43"/>
      <c r="E159" s="43"/>
      <c r="F159" s="132"/>
      <c r="G159" s="41" t="e">
        <f>VLOOKUP(F159,Pcode!A:B,2,FALSE)</f>
        <v>#N/A</v>
      </c>
      <c r="H159" s="41"/>
      <c r="I159" s="41" t="e">
        <f>VLOOKUP(H159,Pcode!C:D,2,FALSE)</f>
        <v>#N/A</v>
      </c>
      <c r="J159" s="41"/>
      <c r="K159" s="160"/>
      <c r="L159" s="160"/>
      <c r="M159" s="46"/>
      <c r="N159" s="136"/>
      <c r="O159" s="136"/>
      <c r="P159" s="136"/>
      <c r="Q159" s="136"/>
      <c r="R159" s="136"/>
      <c r="S159" s="136"/>
      <c r="T159" s="136"/>
      <c r="U159" s="136"/>
      <c r="V159" s="136"/>
      <c r="W159" s="136"/>
      <c r="X159" s="136"/>
      <c r="Y159" s="136"/>
      <c r="Z159" s="136"/>
      <c r="AA159" s="231"/>
    </row>
    <row r="160" spans="1:27" x14ac:dyDescent="0.2">
      <c r="A160" s="39"/>
      <c r="B160" s="39"/>
      <c r="C160" s="43"/>
      <c r="D160" s="43"/>
      <c r="E160" s="43"/>
      <c r="F160" s="132"/>
      <c r="G160" s="41" t="e">
        <f>VLOOKUP(F160,Pcode!A:B,2,FALSE)</f>
        <v>#N/A</v>
      </c>
      <c r="H160" s="41"/>
      <c r="I160" s="41" t="e">
        <f>VLOOKUP(H160,Pcode!C:D,2,FALSE)</f>
        <v>#N/A</v>
      </c>
      <c r="J160" s="41"/>
      <c r="K160" s="160"/>
      <c r="L160" s="160"/>
      <c r="M160" s="46"/>
      <c r="N160" s="136"/>
      <c r="O160" s="136"/>
      <c r="P160" s="136"/>
      <c r="Q160" s="136"/>
      <c r="R160" s="136"/>
      <c r="S160" s="136"/>
      <c r="T160" s="136"/>
      <c r="U160" s="136"/>
      <c r="V160" s="136"/>
      <c r="W160" s="136"/>
      <c r="X160" s="136"/>
      <c r="Y160" s="136"/>
      <c r="Z160" s="136"/>
      <c r="AA160" s="231"/>
    </row>
    <row r="161" spans="1:27" x14ac:dyDescent="0.2">
      <c r="A161" s="39"/>
      <c r="B161" s="39"/>
      <c r="C161" s="43"/>
      <c r="D161" s="43"/>
      <c r="E161" s="43"/>
      <c r="F161" s="132"/>
      <c r="G161" s="41" t="e">
        <f>VLOOKUP(F161,Pcode!A:B,2,FALSE)</f>
        <v>#N/A</v>
      </c>
      <c r="H161" s="41"/>
      <c r="I161" s="41" t="e">
        <f>VLOOKUP(H161,Pcode!C:D,2,FALSE)</f>
        <v>#N/A</v>
      </c>
      <c r="J161" s="41"/>
      <c r="K161" s="160"/>
      <c r="L161" s="160"/>
      <c r="M161" s="46"/>
      <c r="N161" s="136"/>
      <c r="O161" s="136"/>
      <c r="P161" s="136"/>
      <c r="Q161" s="136"/>
      <c r="R161" s="136"/>
      <c r="S161" s="136"/>
      <c r="T161" s="136"/>
      <c r="U161" s="136"/>
      <c r="V161" s="136"/>
      <c r="W161" s="136"/>
      <c r="X161" s="136"/>
      <c r="Y161" s="136"/>
      <c r="Z161" s="136"/>
      <c r="AA161" s="231"/>
    </row>
    <row r="162" spans="1:27" x14ac:dyDescent="0.2">
      <c r="A162" s="39"/>
      <c r="B162" s="39"/>
      <c r="C162" s="43"/>
      <c r="D162" s="43"/>
      <c r="E162" s="43"/>
      <c r="F162" s="132"/>
      <c r="G162" s="41" t="e">
        <f>VLOOKUP(F162,Pcode!A:B,2,FALSE)</f>
        <v>#N/A</v>
      </c>
      <c r="H162" s="41"/>
      <c r="I162" s="41" t="e">
        <f>VLOOKUP(H162,Pcode!C:D,2,FALSE)</f>
        <v>#N/A</v>
      </c>
      <c r="J162" s="41"/>
      <c r="K162" s="160"/>
      <c r="L162" s="160"/>
      <c r="M162" s="46"/>
      <c r="N162" s="136"/>
      <c r="O162" s="136"/>
      <c r="P162" s="136"/>
      <c r="Q162" s="136"/>
      <c r="R162" s="136"/>
      <c r="S162" s="136"/>
      <c r="T162" s="136"/>
      <c r="U162" s="136"/>
      <c r="V162" s="136"/>
      <c r="W162" s="136"/>
      <c r="X162" s="136"/>
      <c r="Y162" s="136"/>
      <c r="Z162" s="136"/>
      <c r="AA162" s="231"/>
    </row>
    <row r="163" spans="1:27" x14ac:dyDescent="0.2">
      <c r="A163" s="39"/>
      <c r="B163" s="39"/>
      <c r="C163" s="43"/>
      <c r="D163" s="43"/>
      <c r="E163" s="43"/>
      <c r="F163" s="132"/>
      <c r="G163" s="41" t="e">
        <f>VLOOKUP(F163,Pcode!A:B,2,FALSE)</f>
        <v>#N/A</v>
      </c>
      <c r="H163" s="41"/>
      <c r="I163" s="41" t="e">
        <f>VLOOKUP(H163,Pcode!C:D,2,FALSE)</f>
        <v>#N/A</v>
      </c>
      <c r="J163" s="41"/>
      <c r="K163" s="160"/>
      <c r="L163" s="160"/>
      <c r="M163" s="46"/>
      <c r="N163" s="136"/>
      <c r="O163" s="136"/>
      <c r="P163" s="136"/>
      <c r="Q163" s="136"/>
      <c r="R163" s="136"/>
      <c r="S163" s="136"/>
      <c r="T163" s="136"/>
      <c r="U163" s="136"/>
      <c r="V163" s="136"/>
      <c r="W163" s="136"/>
      <c r="X163" s="136"/>
      <c r="Y163" s="136"/>
      <c r="Z163" s="136"/>
      <c r="AA163" s="231"/>
    </row>
    <row r="164" spans="1:27" x14ac:dyDescent="0.2">
      <c r="A164" s="39"/>
      <c r="B164" s="39"/>
      <c r="C164" s="43"/>
      <c r="D164" s="43"/>
      <c r="E164" s="43"/>
      <c r="F164" s="132"/>
      <c r="G164" s="41" t="e">
        <f>VLOOKUP(F164,Pcode!A:B,2,FALSE)</f>
        <v>#N/A</v>
      </c>
      <c r="H164" s="41"/>
      <c r="I164" s="41" t="e">
        <f>VLOOKUP(H164,Pcode!C:D,2,FALSE)</f>
        <v>#N/A</v>
      </c>
      <c r="J164" s="41"/>
      <c r="K164" s="160"/>
      <c r="L164" s="160"/>
      <c r="M164" s="46"/>
      <c r="N164" s="136"/>
      <c r="O164" s="136"/>
      <c r="P164" s="136"/>
      <c r="Q164" s="136"/>
      <c r="R164" s="136"/>
      <c r="S164" s="136"/>
      <c r="T164" s="136"/>
      <c r="U164" s="136"/>
      <c r="V164" s="136"/>
      <c r="W164" s="136"/>
      <c r="X164" s="136"/>
      <c r="Y164" s="136"/>
      <c r="Z164" s="136"/>
      <c r="AA164" s="231"/>
    </row>
    <row r="165" spans="1:27" x14ac:dyDescent="0.2">
      <c r="A165" s="39"/>
      <c r="B165" s="39"/>
      <c r="C165" s="43"/>
      <c r="D165" s="43"/>
      <c r="E165" s="43"/>
      <c r="F165" s="132"/>
      <c r="G165" s="41" t="e">
        <f>VLOOKUP(F165,Pcode!A:B,2,FALSE)</f>
        <v>#N/A</v>
      </c>
      <c r="H165" s="41"/>
      <c r="I165" s="41" t="e">
        <f>VLOOKUP(H165,Pcode!C:D,2,FALSE)</f>
        <v>#N/A</v>
      </c>
      <c r="J165" s="41"/>
      <c r="K165" s="160"/>
      <c r="L165" s="160"/>
      <c r="M165" s="46"/>
      <c r="N165" s="136"/>
      <c r="O165" s="136"/>
      <c r="P165" s="136"/>
      <c r="Q165" s="136"/>
      <c r="R165" s="136"/>
      <c r="S165" s="136"/>
      <c r="T165" s="136"/>
      <c r="U165" s="136"/>
      <c r="V165" s="136"/>
      <c r="W165" s="136"/>
      <c r="X165" s="136"/>
      <c r="Y165" s="136"/>
      <c r="Z165" s="136"/>
      <c r="AA165" s="231"/>
    </row>
    <row r="166" spans="1:27" x14ac:dyDescent="0.2">
      <c r="A166" s="39"/>
      <c r="B166" s="39"/>
      <c r="C166" s="43"/>
      <c r="D166" s="43"/>
      <c r="E166" s="43"/>
      <c r="F166" s="132"/>
      <c r="G166" s="41" t="e">
        <f>VLOOKUP(F166,Pcode!A:B,2,FALSE)</f>
        <v>#N/A</v>
      </c>
      <c r="H166" s="41"/>
      <c r="I166" s="41" t="e">
        <f>VLOOKUP(H166,Pcode!C:D,2,FALSE)</f>
        <v>#N/A</v>
      </c>
      <c r="J166" s="41"/>
      <c r="K166" s="160"/>
      <c r="L166" s="160"/>
      <c r="M166" s="46"/>
      <c r="N166" s="136"/>
      <c r="O166" s="136"/>
      <c r="P166" s="136"/>
      <c r="Q166" s="136"/>
      <c r="R166" s="136"/>
      <c r="S166" s="136"/>
      <c r="T166" s="136"/>
      <c r="U166" s="136"/>
      <c r="V166" s="136"/>
      <c r="W166" s="136"/>
      <c r="X166" s="136"/>
      <c r="Y166" s="136"/>
      <c r="Z166" s="136"/>
      <c r="AA166" s="231"/>
    </row>
    <row r="167" spans="1:27" x14ac:dyDescent="0.2">
      <c r="A167" s="39"/>
      <c r="B167" s="39"/>
      <c r="C167" s="43"/>
      <c r="D167" s="43"/>
      <c r="E167" s="43"/>
      <c r="F167" s="132"/>
      <c r="G167" s="41" t="e">
        <f>VLOOKUP(F167,Pcode!A:B,2,FALSE)</f>
        <v>#N/A</v>
      </c>
      <c r="H167" s="41"/>
      <c r="I167" s="41" t="e">
        <f>VLOOKUP(H167,Pcode!C:D,2,FALSE)</f>
        <v>#N/A</v>
      </c>
      <c r="J167" s="41"/>
      <c r="K167" s="160"/>
      <c r="L167" s="160"/>
      <c r="M167" s="46"/>
      <c r="N167" s="136"/>
      <c r="O167" s="136"/>
      <c r="P167" s="136"/>
      <c r="Q167" s="136"/>
      <c r="R167" s="136"/>
      <c r="S167" s="136"/>
      <c r="T167" s="136"/>
      <c r="U167" s="136"/>
      <c r="V167" s="136"/>
      <c r="W167" s="136"/>
      <c r="X167" s="136"/>
      <c r="Y167" s="136"/>
      <c r="Z167" s="136"/>
      <c r="AA167" s="231"/>
    </row>
    <row r="168" spans="1:27" x14ac:dyDescent="0.2">
      <c r="A168" s="39"/>
      <c r="B168" s="39"/>
      <c r="C168" s="43"/>
      <c r="D168" s="43"/>
      <c r="E168" s="43"/>
      <c r="F168" s="132"/>
      <c r="G168" s="41" t="e">
        <f>VLOOKUP(F168,Pcode!A:B,2,FALSE)</f>
        <v>#N/A</v>
      </c>
      <c r="H168" s="41"/>
      <c r="I168" s="41" t="e">
        <f>VLOOKUP(H168,Pcode!C:D,2,FALSE)</f>
        <v>#N/A</v>
      </c>
      <c r="J168" s="41"/>
      <c r="K168" s="160"/>
      <c r="L168" s="160"/>
      <c r="M168" s="46"/>
      <c r="N168" s="136"/>
      <c r="O168" s="136"/>
      <c r="P168" s="136"/>
      <c r="Q168" s="136"/>
      <c r="R168" s="136"/>
      <c r="S168" s="136"/>
      <c r="T168" s="136"/>
      <c r="U168" s="136"/>
      <c r="V168" s="136"/>
      <c r="W168" s="136"/>
      <c r="X168" s="136"/>
      <c r="Y168" s="136"/>
      <c r="Z168" s="136"/>
      <c r="AA168" s="231"/>
    </row>
    <row r="169" spans="1:27" x14ac:dyDescent="0.2">
      <c r="A169" s="39"/>
      <c r="B169" s="39"/>
      <c r="C169" s="43"/>
      <c r="D169" s="43"/>
      <c r="E169" s="43"/>
      <c r="F169" s="132"/>
      <c r="G169" s="41" t="e">
        <f>VLOOKUP(F169,Pcode!A:B,2,FALSE)</f>
        <v>#N/A</v>
      </c>
      <c r="H169" s="41"/>
      <c r="I169" s="41" t="e">
        <f>VLOOKUP(H169,Pcode!C:D,2,FALSE)</f>
        <v>#N/A</v>
      </c>
      <c r="J169" s="41"/>
      <c r="K169" s="160"/>
      <c r="L169" s="160"/>
      <c r="M169" s="46"/>
      <c r="N169" s="136"/>
      <c r="O169" s="136"/>
      <c r="P169" s="136"/>
      <c r="Q169" s="136"/>
      <c r="R169" s="136"/>
      <c r="S169" s="136"/>
      <c r="T169" s="136"/>
      <c r="U169" s="136"/>
      <c r="V169" s="136"/>
      <c r="W169" s="136"/>
      <c r="X169" s="136"/>
      <c r="Y169" s="136"/>
      <c r="Z169" s="136"/>
      <c r="AA169" s="231"/>
    </row>
    <row r="170" spans="1:27" x14ac:dyDescent="0.2">
      <c r="A170" s="39"/>
      <c r="B170" s="39"/>
      <c r="C170" s="43"/>
      <c r="D170" s="43"/>
      <c r="E170" s="43"/>
      <c r="F170" s="132"/>
      <c r="G170" s="41" t="e">
        <f>VLOOKUP(F170,Pcode!A:B,2,FALSE)</f>
        <v>#N/A</v>
      </c>
      <c r="H170" s="41"/>
      <c r="I170" s="41" t="e">
        <f>VLOOKUP(H170,Pcode!C:D,2,FALSE)</f>
        <v>#N/A</v>
      </c>
      <c r="J170" s="41"/>
      <c r="K170" s="160"/>
      <c r="L170" s="160"/>
      <c r="M170" s="46"/>
      <c r="N170" s="136"/>
      <c r="O170" s="136"/>
      <c r="P170" s="136"/>
      <c r="Q170" s="136"/>
      <c r="R170" s="136"/>
      <c r="S170" s="136"/>
      <c r="T170" s="136"/>
      <c r="U170" s="136"/>
      <c r="V170" s="136"/>
      <c r="W170" s="136"/>
      <c r="X170" s="136"/>
      <c r="Y170" s="136"/>
      <c r="Z170" s="136"/>
      <c r="AA170" s="231"/>
    </row>
    <row r="171" spans="1:27" x14ac:dyDescent="0.2">
      <c r="A171" s="39"/>
      <c r="B171" s="39"/>
      <c r="C171" s="43"/>
      <c r="D171" s="43"/>
      <c r="E171" s="43"/>
      <c r="F171" s="132"/>
      <c r="G171" s="41" t="e">
        <f>VLOOKUP(F171,Pcode!A:B,2,FALSE)</f>
        <v>#N/A</v>
      </c>
      <c r="H171" s="41"/>
      <c r="I171" s="41" t="e">
        <f>VLOOKUP(H171,Pcode!C:D,2,FALSE)</f>
        <v>#N/A</v>
      </c>
      <c r="J171" s="41"/>
      <c r="K171" s="160"/>
      <c r="L171" s="160"/>
      <c r="M171" s="46"/>
      <c r="N171" s="136"/>
      <c r="O171" s="136"/>
      <c r="P171" s="136"/>
      <c r="Q171" s="136"/>
      <c r="R171" s="136"/>
      <c r="S171" s="136"/>
      <c r="T171" s="136"/>
      <c r="U171" s="136"/>
      <c r="V171" s="136"/>
      <c r="W171" s="136"/>
      <c r="X171" s="136"/>
      <c r="Y171" s="136"/>
      <c r="Z171" s="136"/>
      <c r="AA171" s="231"/>
    </row>
    <row r="172" spans="1:27" x14ac:dyDescent="0.2">
      <c r="A172" s="39"/>
      <c r="B172" s="39"/>
      <c r="C172" s="43"/>
      <c r="D172" s="43"/>
      <c r="E172" s="43"/>
      <c r="F172" s="132"/>
      <c r="G172" s="41" t="e">
        <f>VLOOKUP(F172,Pcode!A:B,2,FALSE)</f>
        <v>#N/A</v>
      </c>
      <c r="H172" s="41"/>
      <c r="I172" s="41" t="e">
        <f>VLOOKUP(H172,Pcode!C:D,2,FALSE)</f>
        <v>#N/A</v>
      </c>
      <c r="J172" s="41"/>
      <c r="K172" s="160"/>
      <c r="L172" s="160"/>
      <c r="M172" s="46"/>
      <c r="N172" s="136"/>
      <c r="O172" s="136"/>
      <c r="P172" s="136"/>
      <c r="Q172" s="136"/>
      <c r="R172" s="136"/>
      <c r="S172" s="136"/>
      <c r="T172" s="136"/>
      <c r="U172" s="136"/>
      <c r="V172" s="136"/>
      <c r="W172" s="136"/>
      <c r="X172" s="136"/>
      <c r="Y172" s="136"/>
      <c r="Z172" s="136"/>
      <c r="AA172" s="231"/>
    </row>
    <row r="173" spans="1:27" x14ac:dyDescent="0.2">
      <c r="A173" s="39"/>
      <c r="B173" s="39"/>
      <c r="C173" s="43"/>
      <c r="D173" s="43"/>
      <c r="E173" s="43"/>
      <c r="F173" s="132"/>
      <c r="G173" s="41" t="e">
        <f>VLOOKUP(F173,Pcode!A:B,2,FALSE)</f>
        <v>#N/A</v>
      </c>
      <c r="H173" s="41"/>
      <c r="I173" s="41" t="e">
        <f>VLOOKUP(H173,Pcode!C:D,2,FALSE)</f>
        <v>#N/A</v>
      </c>
      <c r="J173" s="41"/>
      <c r="K173" s="160"/>
      <c r="L173" s="160"/>
      <c r="M173" s="46"/>
      <c r="N173" s="136"/>
      <c r="O173" s="136"/>
      <c r="P173" s="136"/>
      <c r="Q173" s="136"/>
      <c r="R173" s="136"/>
      <c r="S173" s="136"/>
      <c r="T173" s="136"/>
      <c r="U173" s="136"/>
      <c r="V173" s="136"/>
      <c r="W173" s="136"/>
      <c r="X173" s="136"/>
      <c r="Y173" s="136"/>
      <c r="Z173" s="136"/>
      <c r="AA173" s="231"/>
    </row>
    <row r="174" spans="1:27" x14ac:dyDescent="0.2">
      <c r="A174" s="39"/>
      <c r="B174" s="39"/>
      <c r="C174" s="43"/>
      <c r="D174" s="43"/>
      <c r="E174" s="43"/>
      <c r="F174" s="132"/>
      <c r="G174" s="41" t="e">
        <f>VLOOKUP(F174,Pcode!A:B,2,FALSE)</f>
        <v>#N/A</v>
      </c>
      <c r="H174" s="41"/>
      <c r="I174" s="41" t="e">
        <f>VLOOKUP(H174,Pcode!C:D,2,FALSE)</f>
        <v>#N/A</v>
      </c>
      <c r="J174" s="41"/>
      <c r="K174" s="160"/>
      <c r="L174" s="160"/>
      <c r="M174" s="46"/>
      <c r="N174" s="136"/>
      <c r="O174" s="136"/>
      <c r="P174" s="136"/>
      <c r="Q174" s="136"/>
      <c r="R174" s="136"/>
      <c r="S174" s="136"/>
      <c r="T174" s="136"/>
      <c r="U174" s="136"/>
      <c r="V174" s="136"/>
      <c r="W174" s="136"/>
      <c r="X174" s="136"/>
      <c r="Y174" s="136"/>
      <c r="Z174" s="136"/>
      <c r="AA174" s="231"/>
    </row>
    <row r="175" spans="1:27" x14ac:dyDescent="0.2">
      <c r="A175" s="39"/>
      <c r="B175" s="39"/>
      <c r="C175" s="43"/>
      <c r="D175" s="43"/>
      <c r="E175" s="43"/>
      <c r="F175" s="132"/>
      <c r="G175" s="41" t="e">
        <f>VLOOKUP(F175,Pcode!A:B,2,FALSE)</f>
        <v>#N/A</v>
      </c>
      <c r="H175" s="41"/>
      <c r="I175" s="41" t="e">
        <f>VLOOKUP(H175,Pcode!C:D,2,FALSE)</f>
        <v>#N/A</v>
      </c>
      <c r="J175" s="41"/>
      <c r="K175" s="160"/>
      <c r="L175" s="160"/>
      <c r="M175" s="46"/>
      <c r="N175" s="136"/>
      <c r="O175" s="136"/>
      <c r="P175" s="136"/>
      <c r="Q175" s="136"/>
      <c r="R175" s="136"/>
      <c r="S175" s="136"/>
      <c r="T175" s="136"/>
      <c r="U175" s="136"/>
      <c r="V175" s="136"/>
      <c r="W175" s="136"/>
      <c r="X175" s="136"/>
      <c r="Y175" s="136"/>
      <c r="Z175" s="136"/>
      <c r="AA175" s="231"/>
    </row>
    <row r="176" spans="1:27" x14ac:dyDescent="0.2">
      <c r="A176" s="39"/>
      <c r="B176" s="39"/>
      <c r="C176" s="43"/>
      <c r="D176" s="43"/>
      <c r="E176" s="43"/>
      <c r="F176" s="132"/>
      <c r="G176" s="41" t="e">
        <f>VLOOKUP(F176,Pcode!A:B,2,FALSE)</f>
        <v>#N/A</v>
      </c>
      <c r="H176" s="41"/>
      <c r="I176" s="41" t="e">
        <f>VLOOKUP(H176,Pcode!C:D,2,FALSE)</f>
        <v>#N/A</v>
      </c>
      <c r="J176" s="41"/>
      <c r="K176" s="160"/>
      <c r="L176" s="160"/>
      <c r="M176" s="46"/>
      <c r="N176" s="136"/>
      <c r="O176" s="136"/>
      <c r="P176" s="136"/>
      <c r="Q176" s="136"/>
      <c r="R176" s="136"/>
      <c r="S176" s="136"/>
      <c r="T176" s="136"/>
      <c r="U176" s="136"/>
      <c r="V176" s="136"/>
      <c r="W176" s="136"/>
      <c r="X176" s="136"/>
      <c r="Y176" s="136"/>
      <c r="Z176" s="136"/>
      <c r="AA176" s="231"/>
    </row>
    <row r="177" spans="1:27" x14ac:dyDescent="0.2">
      <c r="A177" s="39"/>
      <c r="B177" s="39"/>
      <c r="C177" s="43"/>
      <c r="D177" s="43"/>
      <c r="E177" s="43"/>
      <c r="F177" s="132"/>
      <c r="G177" s="41" t="e">
        <f>VLOOKUP(F177,Pcode!A:B,2,FALSE)</f>
        <v>#N/A</v>
      </c>
      <c r="H177" s="41"/>
      <c r="I177" s="41" t="e">
        <f>VLOOKUP(H177,Pcode!C:D,2,FALSE)</f>
        <v>#N/A</v>
      </c>
      <c r="J177" s="41"/>
      <c r="K177" s="160"/>
      <c r="L177" s="160"/>
      <c r="M177" s="46"/>
      <c r="N177" s="136"/>
      <c r="O177" s="136"/>
      <c r="P177" s="136"/>
      <c r="Q177" s="136"/>
      <c r="R177" s="136"/>
      <c r="S177" s="136"/>
      <c r="T177" s="136"/>
      <c r="U177" s="136"/>
      <c r="V177" s="136"/>
      <c r="W177" s="136"/>
      <c r="X177" s="136"/>
      <c r="Y177" s="136"/>
      <c r="Z177" s="136"/>
      <c r="AA177" s="231"/>
    </row>
    <row r="178" spans="1:27" x14ac:dyDescent="0.2">
      <c r="A178" s="39"/>
      <c r="B178" s="39"/>
      <c r="C178" s="43"/>
      <c r="D178" s="43"/>
      <c r="E178" s="43"/>
      <c r="F178" s="132"/>
      <c r="G178" s="41" t="e">
        <f>VLOOKUP(F178,Pcode!A:B,2,FALSE)</f>
        <v>#N/A</v>
      </c>
      <c r="H178" s="41"/>
      <c r="I178" s="41" t="e">
        <f>VLOOKUP(H178,Pcode!C:D,2,FALSE)</f>
        <v>#N/A</v>
      </c>
      <c r="J178" s="41"/>
      <c r="K178" s="160"/>
      <c r="L178" s="160"/>
      <c r="M178" s="46"/>
      <c r="N178" s="136"/>
      <c r="O178" s="136"/>
      <c r="P178" s="136"/>
      <c r="Q178" s="136"/>
      <c r="R178" s="136"/>
      <c r="S178" s="136"/>
      <c r="T178" s="136"/>
      <c r="U178" s="136"/>
      <c r="V178" s="136"/>
      <c r="W178" s="136"/>
      <c r="X178" s="136"/>
      <c r="Y178" s="136"/>
      <c r="Z178" s="136"/>
      <c r="AA178" s="231"/>
    </row>
    <row r="179" spans="1:27" x14ac:dyDescent="0.2">
      <c r="A179" s="39"/>
      <c r="B179" s="39"/>
      <c r="C179" s="43"/>
      <c r="D179" s="43"/>
      <c r="E179" s="43"/>
      <c r="F179" s="132"/>
      <c r="G179" s="41" t="e">
        <f>VLOOKUP(F179,Pcode!A:B,2,FALSE)</f>
        <v>#N/A</v>
      </c>
      <c r="H179" s="41"/>
      <c r="I179" s="41" t="e">
        <f>VLOOKUP(H179,Pcode!C:D,2,FALSE)</f>
        <v>#N/A</v>
      </c>
      <c r="J179" s="41"/>
      <c r="K179" s="160"/>
      <c r="L179" s="160"/>
      <c r="M179" s="46"/>
      <c r="N179" s="136"/>
      <c r="O179" s="136"/>
      <c r="P179" s="136"/>
      <c r="Q179" s="136"/>
      <c r="R179" s="136"/>
      <c r="S179" s="136"/>
      <c r="T179" s="136"/>
      <c r="U179" s="136"/>
      <c r="V179" s="136"/>
      <c r="W179" s="136"/>
      <c r="X179" s="136"/>
      <c r="Y179" s="136"/>
      <c r="Z179" s="136"/>
      <c r="AA179" s="231"/>
    </row>
    <row r="180" spans="1:27" x14ac:dyDescent="0.2">
      <c r="A180" s="39"/>
      <c r="B180" s="39"/>
      <c r="C180" s="43"/>
      <c r="D180" s="43"/>
      <c r="E180" s="43"/>
      <c r="F180" s="132"/>
      <c r="G180" s="41" t="e">
        <f>VLOOKUP(F180,Pcode!A:B,2,FALSE)</f>
        <v>#N/A</v>
      </c>
      <c r="H180" s="41"/>
      <c r="I180" s="41" t="e">
        <f>VLOOKUP(H180,Pcode!C:D,2,FALSE)</f>
        <v>#N/A</v>
      </c>
      <c r="J180" s="41"/>
      <c r="K180" s="160"/>
      <c r="L180" s="160"/>
      <c r="M180" s="46"/>
      <c r="N180" s="136"/>
      <c r="O180" s="136"/>
      <c r="P180" s="136"/>
      <c r="Q180" s="136"/>
      <c r="R180" s="136"/>
      <c r="S180" s="136"/>
      <c r="T180" s="136"/>
      <c r="U180" s="136"/>
      <c r="V180" s="136"/>
      <c r="W180" s="136"/>
      <c r="X180" s="136"/>
      <c r="Y180" s="136"/>
      <c r="Z180" s="136"/>
      <c r="AA180" s="231"/>
    </row>
    <row r="181" spans="1:27" x14ac:dyDescent="0.2">
      <c r="A181" s="39"/>
      <c r="B181" s="39"/>
      <c r="C181" s="43"/>
      <c r="D181" s="43"/>
      <c r="E181" s="43"/>
      <c r="F181" s="132"/>
      <c r="G181" s="41" t="e">
        <f>VLOOKUP(F181,Pcode!A:B,2,FALSE)</f>
        <v>#N/A</v>
      </c>
      <c r="H181" s="41"/>
      <c r="I181" s="41" t="e">
        <f>VLOOKUP(H181,Pcode!C:D,2,FALSE)</f>
        <v>#N/A</v>
      </c>
      <c r="J181" s="41"/>
      <c r="K181" s="160"/>
      <c r="L181" s="160"/>
      <c r="M181" s="46"/>
      <c r="N181" s="136"/>
      <c r="O181" s="136"/>
      <c r="P181" s="136"/>
      <c r="Q181" s="136"/>
      <c r="R181" s="136"/>
      <c r="S181" s="136"/>
      <c r="T181" s="136"/>
      <c r="U181" s="136"/>
      <c r="V181" s="136"/>
      <c r="W181" s="136"/>
      <c r="X181" s="136"/>
      <c r="Y181" s="136"/>
      <c r="Z181" s="136"/>
      <c r="AA181" s="231"/>
    </row>
    <row r="182" spans="1:27" x14ac:dyDescent="0.2">
      <c r="A182" s="39"/>
      <c r="B182" s="39"/>
      <c r="C182" s="43"/>
      <c r="D182" s="43"/>
      <c r="E182" s="43"/>
      <c r="F182" s="132"/>
      <c r="G182" s="41" t="e">
        <f>VLOOKUP(F182,Pcode!A:B,2,FALSE)</f>
        <v>#N/A</v>
      </c>
      <c r="H182" s="41"/>
      <c r="I182" s="41" t="e">
        <f>VLOOKUP(H182,Pcode!C:D,2,FALSE)</f>
        <v>#N/A</v>
      </c>
      <c r="J182" s="41"/>
      <c r="K182" s="160"/>
      <c r="L182" s="160"/>
      <c r="M182" s="46"/>
      <c r="N182" s="136"/>
      <c r="O182" s="136"/>
      <c r="P182" s="136"/>
      <c r="Q182" s="136"/>
      <c r="R182" s="136"/>
      <c r="S182" s="136"/>
      <c r="T182" s="136"/>
      <c r="U182" s="136"/>
      <c r="V182" s="136"/>
      <c r="W182" s="136"/>
      <c r="X182" s="136"/>
      <c r="Y182" s="136"/>
      <c r="Z182" s="136"/>
      <c r="AA182" s="231"/>
    </row>
    <row r="183" spans="1:27" x14ac:dyDescent="0.2">
      <c r="A183" s="39"/>
      <c r="B183" s="39"/>
      <c r="C183" s="43"/>
      <c r="D183" s="43"/>
      <c r="E183" s="43"/>
      <c r="F183" s="132"/>
      <c r="G183" s="41" t="e">
        <f>VLOOKUP(F183,Pcode!A:B,2,FALSE)</f>
        <v>#N/A</v>
      </c>
      <c r="H183" s="41"/>
      <c r="I183" s="41" t="e">
        <f>VLOOKUP(H183,Pcode!C:D,2,FALSE)</f>
        <v>#N/A</v>
      </c>
      <c r="J183" s="41"/>
      <c r="K183" s="160"/>
      <c r="L183" s="160"/>
      <c r="M183" s="46"/>
      <c r="N183" s="136"/>
      <c r="O183" s="136"/>
      <c r="P183" s="136"/>
      <c r="Q183" s="136"/>
      <c r="R183" s="136"/>
      <c r="S183" s="136"/>
      <c r="T183" s="136"/>
      <c r="U183" s="136"/>
      <c r="V183" s="136"/>
      <c r="W183" s="136"/>
      <c r="X183" s="136"/>
      <c r="Y183" s="136"/>
      <c r="Z183" s="136"/>
      <c r="AA183" s="231"/>
    </row>
    <row r="184" spans="1:27" x14ac:dyDescent="0.2">
      <c r="A184" s="39"/>
      <c r="B184" s="39"/>
      <c r="C184" s="43"/>
      <c r="D184" s="43"/>
      <c r="E184" s="43"/>
      <c r="F184" s="132"/>
      <c r="G184" s="41" t="e">
        <f>VLOOKUP(F184,Pcode!A:B,2,FALSE)</f>
        <v>#N/A</v>
      </c>
      <c r="H184" s="41"/>
      <c r="I184" s="41" t="e">
        <f>VLOOKUP(H184,Pcode!C:D,2,FALSE)</f>
        <v>#N/A</v>
      </c>
      <c r="J184" s="41"/>
      <c r="K184" s="160"/>
      <c r="L184" s="160"/>
      <c r="M184" s="46"/>
      <c r="N184" s="136"/>
      <c r="O184" s="136"/>
      <c r="P184" s="136"/>
      <c r="Q184" s="136"/>
      <c r="R184" s="136"/>
      <c r="S184" s="136"/>
      <c r="T184" s="136"/>
      <c r="U184" s="136"/>
      <c r="V184" s="136"/>
      <c r="W184" s="136"/>
      <c r="X184" s="136"/>
      <c r="Y184" s="136"/>
      <c r="Z184" s="136"/>
      <c r="AA184" s="231"/>
    </row>
    <row r="185" spans="1:27" x14ac:dyDescent="0.2">
      <c r="A185" s="39"/>
      <c r="B185" s="39"/>
      <c r="C185" s="43"/>
      <c r="D185" s="43"/>
      <c r="E185" s="43"/>
      <c r="F185" s="132"/>
      <c r="G185" s="41" t="e">
        <f>VLOOKUP(F185,Pcode!A:B,2,FALSE)</f>
        <v>#N/A</v>
      </c>
      <c r="H185" s="41"/>
      <c r="I185" s="41" t="e">
        <f>VLOOKUP(H185,Pcode!C:D,2,FALSE)</f>
        <v>#N/A</v>
      </c>
      <c r="J185" s="41"/>
      <c r="K185" s="160"/>
      <c r="L185" s="160"/>
      <c r="M185" s="46"/>
      <c r="N185" s="136"/>
      <c r="O185" s="136"/>
      <c r="P185" s="136"/>
      <c r="Q185" s="136"/>
      <c r="R185" s="136"/>
      <c r="S185" s="136"/>
      <c r="T185" s="136"/>
      <c r="U185" s="136"/>
      <c r="V185" s="136"/>
      <c r="W185" s="136"/>
      <c r="X185" s="136"/>
      <c r="Y185" s="136"/>
      <c r="Z185" s="136"/>
      <c r="AA185" s="231"/>
    </row>
    <row r="186" spans="1:27" x14ac:dyDescent="0.2">
      <c r="A186" s="39"/>
      <c r="B186" s="39"/>
      <c r="C186" s="43"/>
      <c r="D186" s="43"/>
      <c r="E186" s="43"/>
      <c r="F186" s="132"/>
      <c r="G186" s="41" t="e">
        <f>VLOOKUP(F186,Pcode!A:B,2,FALSE)</f>
        <v>#N/A</v>
      </c>
      <c r="H186" s="41"/>
      <c r="I186" s="41" t="e">
        <f>VLOOKUP(H186,Pcode!C:D,2,FALSE)</f>
        <v>#N/A</v>
      </c>
      <c r="J186" s="41"/>
      <c r="K186" s="160"/>
      <c r="L186" s="160"/>
      <c r="M186" s="46"/>
      <c r="N186" s="136"/>
      <c r="O186" s="136"/>
      <c r="P186" s="136"/>
      <c r="Q186" s="136"/>
      <c r="R186" s="136"/>
      <c r="S186" s="136"/>
      <c r="T186" s="136"/>
      <c r="U186" s="136"/>
      <c r="V186" s="136"/>
      <c r="W186" s="136"/>
      <c r="X186" s="136"/>
      <c r="Y186" s="136"/>
      <c r="Z186" s="136"/>
      <c r="AA186" s="231"/>
    </row>
    <row r="187" spans="1:27" x14ac:dyDescent="0.2">
      <c r="A187" s="39"/>
      <c r="B187" s="39"/>
      <c r="C187" s="43"/>
      <c r="D187" s="43"/>
      <c r="E187" s="43"/>
      <c r="F187" s="132"/>
      <c r="G187" s="41" t="e">
        <f>VLOOKUP(F187,Pcode!A:B,2,FALSE)</f>
        <v>#N/A</v>
      </c>
      <c r="H187" s="41"/>
      <c r="I187" s="41" t="e">
        <f>VLOOKUP(H187,Pcode!C:D,2,FALSE)</f>
        <v>#N/A</v>
      </c>
      <c r="J187" s="41"/>
      <c r="K187" s="160"/>
      <c r="L187" s="160"/>
      <c r="M187" s="46"/>
      <c r="N187" s="136"/>
      <c r="O187" s="136"/>
      <c r="P187" s="136"/>
      <c r="Q187" s="136"/>
      <c r="R187" s="136"/>
      <c r="S187" s="136"/>
      <c r="T187" s="136"/>
      <c r="U187" s="136"/>
      <c r="V187" s="136"/>
      <c r="W187" s="136"/>
      <c r="X187" s="136"/>
      <c r="Y187" s="136"/>
      <c r="Z187" s="136"/>
      <c r="AA187" s="231"/>
    </row>
    <row r="188" spans="1:27" x14ac:dyDescent="0.2">
      <c r="A188" s="39"/>
      <c r="B188" s="39"/>
      <c r="C188" s="43"/>
      <c r="D188" s="43"/>
      <c r="E188" s="43"/>
      <c r="F188" s="132"/>
      <c r="G188" s="41" t="e">
        <f>VLOOKUP(F188,Pcode!A:B,2,FALSE)</f>
        <v>#N/A</v>
      </c>
      <c r="H188" s="41"/>
      <c r="I188" s="41" t="e">
        <f>VLOOKUP(H188,Pcode!C:D,2,FALSE)</f>
        <v>#N/A</v>
      </c>
      <c r="J188" s="41"/>
      <c r="K188" s="160"/>
      <c r="L188" s="160"/>
      <c r="M188" s="46"/>
      <c r="N188" s="136"/>
      <c r="O188" s="136"/>
      <c r="P188" s="136"/>
      <c r="Q188" s="136"/>
      <c r="R188" s="136"/>
      <c r="S188" s="136"/>
      <c r="T188" s="136"/>
      <c r="U188" s="136"/>
      <c r="V188" s="136"/>
      <c r="W188" s="136"/>
      <c r="X188" s="136"/>
      <c r="Y188" s="136"/>
      <c r="Z188" s="136"/>
      <c r="AA188" s="231"/>
    </row>
    <row r="189" spans="1:27" x14ac:dyDescent="0.2">
      <c r="A189" s="39"/>
      <c r="B189" s="39"/>
      <c r="C189" s="43"/>
      <c r="D189" s="43"/>
      <c r="E189" s="43"/>
      <c r="F189" s="132"/>
      <c r="G189" s="41" t="e">
        <f>VLOOKUP(F189,Pcode!A:B,2,FALSE)</f>
        <v>#N/A</v>
      </c>
      <c r="H189" s="41"/>
      <c r="I189" s="41" t="e">
        <f>VLOOKUP(H189,Pcode!C:D,2,FALSE)</f>
        <v>#N/A</v>
      </c>
      <c r="J189" s="41"/>
      <c r="K189" s="160"/>
      <c r="L189" s="160"/>
      <c r="M189" s="46"/>
      <c r="N189" s="136"/>
      <c r="O189" s="136"/>
      <c r="P189" s="136"/>
      <c r="Q189" s="136"/>
      <c r="R189" s="136"/>
      <c r="S189" s="136"/>
      <c r="T189" s="136"/>
      <c r="U189" s="136"/>
      <c r="V189" s="136"/>
      <c r="W189" s="136"/>
      <c r="X189" s="136"/>
      <c r="Y189" s="136"/>
      <c r="Z189" s="136"/>
      <c r="AA189" s="231"/>
    </row>
    <row r="190" spans="1:27" x14ac:dyDescent="0.2">
      <c r="A190" s="39"/>
      <c r="B190" s="39"/>
      <c r="C190" s="43"/>
      <c r="D190" s="43"/>
      <c r="E190" s="43"/>
      <c r="F190" s="132"/>
      <c r="G190" s="41" t="e">
        <f>VLOOKUP(F190,Pcode!A:B,2,FALSE)</f>
        <v>#N/A</v>
      </c>
      <c r="H190" s="41"/>
      <c r="I190" s="41" t="e">
        <f>VLOOKUP(H190,Pcode!C:D,2,FALSE)</f>
        <v>#N/A</v>
      </c>
      <c r="J190" s="41"/>
      <c r="K190" s="160"/>
      <c r="L190" s="160"/>
      <c r="M190" s="46"/>
      <c r="N190" s="136"/>
      <c r="O190" s="136"/>
      <c r="P190" s="136"/>
      <c r="Q190" s="136"/>
      <c r="R190" s="136"/>
      <c r="S190" s="136"/>
      <c r="T190" s="136"/>
      <c r="U190" s="136"/>
      <c r="V190" s="136"/>
      <c r="W190" s="136"/>
      <c r="X190" s="136"/>
      <c r="Y190" s="136"/>
      <c r="Z190" s="136"/>
      <c r="AA190" s="231"/>
    </row>
    <row r="191" spans="1:27" x14ac:dyDescent="0.2">
      <c r="A191" s="39"/>
      <c r="B191" s="39"/>
      <c r="C191" s="43"/>
      <c r="D191" s="43"/>
      <c r="E191" s="43"/>
      <c r="F191" s="132"/>
      <c r="G191" s="41" t="e">
        <f>VLOOKUP(F191,Pcode!A:B,2,FALSE)</f>
        <v>#N/A</v>
      </c>
      <c r="H191" s="41"/>
      <c r="I191" s="41" t="e">
        <f>VLOOKUP(H191,Pcode!C:D,2,FALSE)</f>
        <v>#N/A</v>
      </c>
      <c r="J191" s="41"/>
      <c r="K191" s="160"/>
      <c r="L191" s="160"/>
      <c r="M191" s="46"/>
      <c r="N191" s="136"/>
      <c r="O191" s="136"/>
      <c r="P191" s="136"/>
      <c r="Q191" s="136"/>
      <c r="R191" s="136"/>
      <c r="S191" s="136"/>
      <c r="T191" s="136"/>
      <c r="U191" s="136"/>
      <c r="V191" s="136"/>
      <c r="W191" s="136"/>
      <c r="X191" s="136"/>
      <c r="Y191" s="136"/>
      <c r="Z191" s="136"/>
      <c r="AA191" s="231"/>
    </row>
    <row r="192" spans="1:27" x14ac:dyDescent="0.2">
      <c r="A192" s="39"/>
      <c r="B192" s="39"/>
      <c r="C192" s="43"/>
      <c r="D192" s="43"/>
      <c r="E192" s="43"/>
      <c r="F192" s="132"/>
      <c r="G192" s="41" t="e">
        <f>VLOOKUP(F192,Pcode!A:B,2,FALSE)</f>
        <v>#N/A</v>
      </c>
      <c r="H192" s="41"/>
      <c r="I192" s="41" t="e">
        <f>VLOOKUP(H192,Pcode!C:D,2,FALSE)</f>
        <v>#N/A</v>
      </c>
      <c r="J192" s="41"/>
      <c r="K192" s="160"/>
      <c r="L192" s="160"/>
      <c r="M192" s="46"/>
      <c r="N192" s="136"/>
      <c r="O192" s="136"/>
      <c r="P192" s="136"/>
      <c r="Q192" s="136"/>
      <c r="R192" s="136"/>
      <c r="S192" s="136"/>
      <c r="T192" s="136"/>
      <c r="U192" s="136"/>
      <c r="V192" s="136"/>
      <c r="W192" s="136"/>
      <c r="X192" s="136"/>
      <c r="Y192" s="136"/>
      <c r="Z192" s="136"/>
      <c r="AA192" s="231"/>
    </row>
    <row r="193" spans="1:27" x14ac:dyDescent="0.2">
      <c r="A193" s="39"/>
      <c r="B193" s="39"/>
      <c r="C193" s="43"/>
      <c r="D193" s="43"/>
      <c r="E193" s="43"/>
      <c r="F193" s="132"/>
      <c r="G193" s="41" t="e">
        <f>VLOOKUP(F193,Pcode!A:B,2,FALSE)</f>
        <v>#N/A</v>
      </c>
      <c r="H193" s="41"/>
      <c r="I193" s="41" t="e">
        <f>VLOOKUP(H193,Pcode!C:D,2,FALSE)</f>
        <v>#N/A</v>
      </c>
      <c r="J193" s="41"/>
      <c r="K193" s="160"/>
      <c r="L193" s="160"/>
      <c r="M193" s="46"/>
      <c r="N193" s="136"/>
      <c r="O193" s="136"/>
      <c r="P193" s="136"/>
      <c r="Q193" s="136"/>
      <c r="R193" s="136"/>
      <c r="S193" s="136"/>
      <c r="T193" s="136"/>
      <c r="U193" s="136"/>
      <c r="V193" s="136"/>
      <c r="W193" s="136"/>
      <c r="X193" s="136"/>
      <c r="Y193" s="136"/>
      <c r="Z193" s="136"/>
      <c r="AA193" s="231"/>
    </row>
    <row r="194" spans="1:27" x14ac:dyDescent="0.2">
      <c r="A194" s="39"/>
      <c r="B194" s="39"/>
      <c r="C194" s="43"/>
      <c r="D194" s="43"/>
      <c r="E194" s="43"/>
      <c r="F194" s="132"/>
      <c r="G194" s="41" t="e">
        <f>VLOOKUP(F194,Pcode!A:B,2,FALSE)</f>
        <v>#N/A</v>
      </c>
      <c r="H194" s="41"/>
      <c r="I194" s="41" t="e">
        <f>VLOOKUP(H194,Pcode!C:D,2,FALSE)</f>
        <v>#N/A</v>
      </c>
      <c r="J194" s="41"/>
      <c r="K194" s="160"/>
      <c r="L194" s="160"/>
      <c r="M194" s="46"/>
      <c r="N194" s="136"/>
      <c r="O194" s="136"/>
      <c r="P194" s="136"/>
      <c r="Q194" s="136"/>
      <c r="R194" s="136"/>
      <c r="S194" s="136"/>
      <c r="T194" s="136"/>
      <c r="U194" s="136"/>
      <c r="V194" s="136"/>
      <c r="W194" s="136"/>
      <c r="X194" s="136"/>
      <c r="Y194" s="136"/>
      <c r="Z194" s="136"/>
      <c r="AA194" s="231"/>
    </row>
    <row r="195" spans="1:27" x14ac:dyDescent="0.2">
      <c r="A195" s="39"/>
      <c r="B195" s="39"/>
      <c r="C195" s="43"/>
      <c r="D195" s="43"/>
      <c r="E195" s="43"/>
      <c r="F195" s="132"/>
      <c r="G195" s="41" t="e">
        <f>VLOOKUP(F195,Pcode!A:B,2,FALSE)</f>
        <v>#N/A</v>
      </c>
      <c r="H195" s="41"/>
      <c r="I195" s="41" t="e">
        <f>VLOOKUP(H195,Pcode!C:D,2,FALSE)</f>
        <v>#N/A</v>
      </c>
      <c r="J195" s="41"/>
      <c r="K195" s="160"/>
      <c r="L195" s="160"/>
      <c r="M195" s="46"/>
      <c r="N195" s="136"/>
      <c r="O195" s="136"/>
      <c r="P195" s="136"/>
      <c r="Q195" s="136"/>
      <c r="R195" s="136"/>
      <c r="S195" s="136"/>
      <c r="T195" s="136"/>
      <c r="U195" s="136"/>
      <c r="V195" s="136"/>
      <c r="W195" s="136"/>
      <c r="X195" s="136"/>
      <c r="Y195" s="136"/>
      <c r="Z195" s="136"/>
      <c r="AA195" s="231"/>
    </row>
    <row r="196" spans="1:27" x14ac:dyDescent="0.2">
      <c r="A196" s="39"/>
      <c r="B196" s="39"/>
      <c r="C196" s="43"/>
      <c r="D196" s="43"/>
      <c r="E196" s="43"/>
      <c r="F196" s="132"/>
      <c r="G196" s="41" t="e">
        <f>VLOOKUP(F196,Pcode!A:B,2,FALSE)</f>
        <v>#N/A</v>
      </c>
      <c r="H196" s="41"/>
      <c r="I196" s="41" t="e">
        <f>VLOOKUP(H196,Pcode!C:D,2,FALSE)</f>
        <v>#N/A</v>
      </c>
      <c r="J196" s="41"/>
      <c r="K196" s="160"/>
      <c r="L196" s="160"/>
      <c r="M196" s="46"/>
      <c r="N196" s="136"/>
      <c r="O196" s="136"/>
      <c r="P196" s="136"/>
      <c r="Q196" s="136"/>
      <c r="R196" s="136"/>
      <c r="S196" s="136"/>
      <c r="T196" s="136"/>
      <c r="U196" s="136"/>
      <c r="V196" s="136"/>
      <c r="W196" s="136"/>
      <c r="X196" s="136"/>
      <c r="Y196" s="136"/>
      <c r="Z196" s="136"/>
      <c r="AA196" s="231"/>
    </row>
    <row r="197" spans="1:27" x14ac:dyDescent="0.2">
      <c r="A197" s="39"/>
      <c r="B197" s="39"/>
      <c r="C197" s="43"/>
      <c r="D197" s="43"/>
      <c r="E197" s="43"/>
      <c r="F197" s="132"/>
      <c r="G197" s="41" t="e">
        <f>VLOOKUP(F197,Pcode!A:B,2,FALSE)</f>
        <v>#N/A</v>
      </c>
      <c r="H197" s="41"/>
      <c r="I197" s="41" t="e">
        <f>VLOOKUP(H197,Pcode!C:D,2,FALSE)</f>
        <v>#N/A</v>
      </c>
      <c r="J197" s="41"/>
      <c r="K197" s="160"/>
      <c r="L197" s="160"/>
      <c r="M197" s="46"/>
      <c r="N197" s="136"/>
      <c r="O197" s="136"/>
      <c r="P197" s="136"/>
      <c r="Q197" s="136"/>
      <c r="R197" s="136"/>
      <c r="S197" s="136"/>
      <c r="T197" s="136"/>
      <c r="U197" s="136"/>
      <c r="V197" s="136"/>
      <c r="W197" s="136"/>
      <c r="X197" s="136"/>
      <c r="Y197" s="136"/>
      <c r="Z197" s="136"/>
      <c r="AA197" s="231"/>
    </row>
    <row r="198" spans="1:27" x14ac:dyDescent="0.2">
      <c r="A198" s="39"/>
      <c r="B198" s="39"/>
      <c r="C198" s="43"/>
      <c r="D198" s="43"/>
      <c r="E198" s="43"/>
      <c r="F198" s="132"/>
      <c r="G198" s="41" t="e">
        <f>VLOOKUP(F198,Pcode!A:B,2,FALSE)</f>
        <v>#N/A</v>
      </c>
      <c r="H198" s="41"/>
      <c r="I198" s="41" t="e">
        <f>VLOOKUP(H198,Pcode!C:D,2,FALSE)</f>
        <v>#N/A</v>
      </c>
      <c r="J198" s="41"/>
      <c r="K198" s="160"/>
      <c r="L198" s="160"/>
      <c r="M198" s="46"/>
      <c r="N198" s="136"/>
      <c r="O198" s="136"/>
      <c r="P198" s="136"/>
      <c r="Q198" s="136"/>
      <c r="R198" s="136"/>
      <c r="S198" s="136"/>
      <c r="T198" s="136"/>
      <c r="U198" s="136"/>
      <c r="V198" s="136"/>
      <c r="W198" s="136"/>
      <c r="X198" s="136"/>
      <c r="Y198" s="136"/>
      <c r="Z198" s="136"/>
      <c r="AA198" s="231"/>
    </row>
    <row r="199" spans="1:27" x14ac:dyDescent="0.2">
      <c r="A199" s="39"/>
      <c r="B199" s="39"/>
      <c r="C199" s="43"/>
      <c r="D199" s="43"/>
      <c r="E199" s="43"/>
      <c r="F199" s="132"/>
      <c r="G199" s="41" t="e">
        <f>VLOOKUP(F199,Pcode!A:B,2,FALSE)</f>
        <v>#N/A</v>
      </c>
      <c r="H199" s="41"/>
      <c r="I199" s="41" t="e">
        <f>VLOOKUP(H199,Pcode!C:D,2,FALSE)</f>
        <v>#N/A</v>
      </c>
      <c r="J199" s="41"/>
      <c r="K199" s="160"/>
      <c r="L199" s="160"/>
      <c r="M199" s="46"/>
      <c r="N199" s="136"/>
      <c r="O199" s="136"/>
      <c r="P199" s="136"/>
      <c r="Q199" s="136"/>
      <c r="R199" s="136"/>
      <c r="S199" s="136"/>
      <c r="T199" s="136"/>
      <c r="U199" s="136"/>
      <c r="V199" s="136"/>
      <c r="W199" s="136"/>
      <c r="X199" s="136"/>
      <c r="Y199" s="136"/>
      <c r="Z199" s="136"/>
      <c r="AA199" s="231"/>
    </row>
    <row r="200" spans="1:27" x14ac:dyDescent="0.2">
      <c r="A200" s="39"/>
      <c r="B200" s="39"/>
      <c r="C200" s="43"/>
      <c r="D200" s="43"/>
      <c r="E200" s="43"/>
      <c r="F200" s="132"/>
      <c r="G200" s="41" t="e">
        <f>VLOOKUP(F200,Pcode!A:B,2,FALSE)</f>
        <v>#N/A</v>
      </c>
      <c r="H200" s="41"/>
      <c r="I200" s="41" t="e">
        <f>VLOOKUP(H200,Pcode!C:D,2,FALSE)</f>
        <v>#N/A</v>
      </c>
      <c r="J200" s="41"/>
      <c r="K200" s="160"/>
      <c r="L200" s="160"/>
      <c r="M200" s="46"/>
      <c r="N200" s="136"/>
      <c r="O200" s="136"/>
      <c r="P200" s="136"/>
      <c r="Q200" s="136"/>
      <c r="R200" s="136"/>
      <c r="S200" s="136"/>
      <c r="T200" s="136"/>
      <c r="U200" s="136"/>
      <c r="V200" s="136"/>
      <c r="W200" s="136"/>
      <c r="X200" s="136"/>
      <c r="Y200" s="136"/>
      <c r="Z200" s="136"/>
      <c r="AA200" s="231"/>
    </row>
    <row r="201" spans="1:27" x14ac:dyDescent="0.2">
      <c r="A201" s="39"/>
      <c r="B201" s="39"/>
      <c r="C201" s="43"/>
      <c r="D201" s="43"/>
      <c r="E201" s="43"/>
      <c r="F201" s="132"/>
      <c r="G201" s="41" t="e">
        <f>VLOOKUP(F201,Pcode!A:B,2,FALSE)</f>
        <v>#N/A</v>
      </c>
      <c r="H201" s="41"/>
      <c r="I201" s="41" t="e">
        <f>VLOOKUP(H201,Pcode!C:D,2,FALSE)</f>
        <v>#N/A</v>
      </c>
      <c r="J201" s="41"/>
      <c r="K201" s="160"/>
      <c r="L201" s="160"/>
      <c r="M201" s="46"/>
      <c r="N201" s="136"/>
      <c r="O201" s="136"/>
      <c r="P201" s="136"/>
      <c r="Q201" s="136"/>
      <c r="R201" s="136"/>
      <c r="S201" s="136"/>
      <c r="T201" s="136"/>
      <c r="U201" s="136"/>
      <c r="V201" s="136"/>
      <c r="W201" s="136"/>
      <c r="X201" s="136"/>
      <c r="Y201" s="136"/>
      <c r="Z201" s="136"/>
      <c r="AA201" s="231"/>
    </row>
    <row r="202" spans="1:27" x14ac:dyDescent="0.2">
      <c r="A202" s="39"/>
      <c r="B202" s="39"/>
      <c r="C202" s="43"/>
      <c r="D202" s="43"/>
      <c r="E202" s="43"/>
      <c r="F202" s="132"/>
      <c r="G202" s="41" t="e">
        <f>VLOOKUP(F202,Pcode!A:B,2,FALSE)</f>
        <v>#N/A</v>
      </c>
      <c r="H202" s="41"/>
      <c r="I202" s="41" t="e">
        <f>VLOOKUP(H202,Pcode!C:D,2,FALSE)</f>
        <v>#N/A</v>
      </c>
      <c r="J202" s="41"/>
      <c r="K202" s="160"/>
      <c r="L202" s="160"/>
      <c r="M202" s="46"/>
      <c r="N202" s="136"/>
      <c r="O202" s="136"/>
      <c r="P202" s="136"/>
      <c r="Q202" s="136"/>
      <c r="R202" s="136"/>
      <c r="S202" s="136"/>
      <c r="T202" s="136"/>
      <c r="U202" s="136"/>
      <c r="V202" s="136"/>
      <c r="W202" s="136"/>
      <c r="X202" s="136"/>
      <c r="Y202" s="136"/>
      <c r="Z202" s="136"/>
      <c r="AA202" s="231"/>
    </row>
    <row r="203" spans="1:27" x14ac:dyDescent="0.2">
      <c r="A203" s="39"/>
      <c r="B203" s="39"/>
      <c r="C203" s="43"/>
      <c r="D203" s="43"/>
      <c r="E203" s="43"/>
      <c r="F203" s="132"/>
      <c r="G203" s="41" t="e">
        <f>VLOOKUP(F203,Pcode!A:B,2,FALSE)</f>
        <v>#N/A</v>
      </c>
      <c r="H203" s="41"/>
      <c r="I203" s="41" t="e">
        <f>VLOOKUP(H203,Pcode!C:D,2,FALSE)</f>
        <v>#N/A</v>
      </c>
      <c r="J203" s="41"/>
      <c r="K203" s="160"/>
      <c r="L203" s="160"/>
      <c r="M203" s="46"/>
      <c r="N203" s="136"/>
      <c r="O203" s="136"/>
      <c r="P203" s="136"/>
      <c r="Q203" s="136"/>
      <c r="R203" s="136"/>
      <c r="S203" s="136"/>
      <c r="T203" s="136"/>
      <c r="U203" s="136"/>
      <c r="V203" s="136"/>
      <c r="W203" s="136"/>
      <c r="X203" s="136"/>
      <c r="Y203" s="136"/>
      <c r="Z203" s="136"/>
      <c r="AA203" s="231"/>
    </row>
    <row r="204" spans="1:27" x14ac:dyDescent="0.2">
      <c r="A204" s="39"/>
      <c r="B204" s="39"/>
      <c r="C204" s="43"/>
      <c r="D204" s="43"/>
      <c r="E204" s="43"/>
      <c r="F204" s="132"/>
      <c r="G204" s="41" t="e">
        <f>VLOOKUP(F204,Pcode!A:B,2,FALSE)</f>
        <v>#N/A</v>
      </c>
      <c r="H204" s="41"/>
      <c r="I204" s="41" t="e">
        <f>VLOOKUP(H204,Pcode!C:D,2,FALSE)</f>
        <v>#N/A</v>
      </c>
      <c r="J204" s="41"/>
      <c r="K204" s="160"/>
      <c r="L204" s="160"/>
      <c r="M204" s="46"/>
      <c r="N204" s="136"/>
      <c r="O204" s="136"/>
      <c r="P204" s="136"/>
      <c r="Q204" s="136"/>
      <c r="R204" s="136"/>
      <c r="S204" s="136"/>
      <c r="T204" s="136"/>
      <c r="U204" s="136"/>
      <c r="V204" s="136"/>
      <c r="W204" s="136"/>
      <c r="X204" s="136"/>
      <c r="Y204" s="136"/>
      <c r="Z204" s="136"/>
      <c r="AA204" s="231"/>
    </row>
    <row r="205" spans="1:27" x14ac:dyDescent="0.2">
      <c r="A205" s="39"/>
      <c r="B205" s="39"/>
      <c r="C205" s="43"/>
      <c r="D205" s="43"/>
      <c r="E205" s="43"/>
      <c r="F205" s="132"/>
      <c r="G205" s="41" t="e">
        <f>VLOOKUP(F205,Pcode!A:B,2,FALSE)</f>
        <v>#N/A</v>
      </c>
      <c r="H205" s="41"/>
      <c r="I205" s="41" t="e">
        <f>VLOOKUP(H205,Pcode!C:D,2,FALSE)</f>
        <v>#N/A</v>
      </c>
      <c r="J205" s="41"/>
      <c r="K205" s="160"/>
      <c r="L205" s="160"/>
      <c r="M205" s="46"/>
      <c r="N205" s="136"/>
      <c r="O205" s="136"/>
      <c r="P205" s="136"/>
      <c r="Q205" s="136"/>
      <c r="R205" s="136"/>
      <c r="S205" s="136"/>
      <c r="T205" s="136"/>
      <c r="U205" s="136"/>
      <c r="V205" s="136"/>
      <c r="W205" s="136"/>
      <c r="X205" s="136"/>
      <c r="Y205" s="136"/>
      <c r="Z205" s="136"/>
      <c r="AA205" s="231"/>
    </row>
    <row r="206" spans="1:27" x14ac:dyDescent="0.2">
      <c r="A206" s="39"/>
      <c r="B206" s="39"/>
      <c r="C206" s="43"/>
      <c r="D206" s="43"/>
      <c r="E206" s="43"/>
      <c r="F206" s="132"/>
      <c r="G206" s="41" t="e">
        <f>VLOOKUP(F206,Pcode!A:B,2,FALSE)</f>
        <v>#N/A</v>
      </c>
      <c r="H206" s="41"/>
      <c r="I206" s="41" t="e">
        <f>VLOOKUP(H206,Pcode!C:D,2,FALSE)</f>
        <v>#N/A</v>
      </c>
      <c r="J206" s="41"/>
      <c r="K206" s="160"/>
      <c r="L206" s="160"/>
      <c r="M206" s="46"/>
      <c r="N206" s="136"/>
      <c r="O206" s="136"/>
      <c r="P206" s="136"/>
      <c r="Q206" s="136"/>
      <c r="R206" s="136"/>
      <c r="S206" s="136"/>
      <c r="T206" s="136"/>
      <c r="U206" s="136"/>
      <c r="V206" s="136"/>
      <c r="W206" s="136"/>
      <c r="X206" s="136"/>
      <c r="Y206" s="136"/>
      <c r="Z206" s="136"/>
      <c r="AA206" s="231"/>
    </row>
    <row r="207" spans="1:27" x14ac:dyDescent="0.2">
      <c r="A207" s="39"/>
      <c r="B207" s="39"/>
      <c r="C207" s="43"/>
      <c r="D207" s="43"/>
      <c r="E207" s="43"/>
      <c r="F207" s="132"/>
      <c r="G207" s="41" t="e">
        <f>VLOOKUP(F207,Pcode!A:B,2,FALSE)</f>
        <v>#N/A</v>
      </c>
      <c r="H207" s="41"/>
      <c r="I207" s="41" t="e">
        <f>VLOOKUP(H207,Pcode!C:D,2,FALSE)</f>
        <v>#N/A</v>
      </c>
      <c r="J207" s="41"/>
      <c r="K207" s="160"/>
      <c r="L207" s="160"/>
      <c r="M207" s="46"/>
      <c r="N207" s="136"/>
      <c r="O207" s="136"/>
      <c r="P207" s="136"/>
      <c r="Q207" s="136"/>
      <c r="R207" s="136"/>
      <c r="S207" s="136"/>
      <c r="T207" s="136"/>
      <c r="U207" s="136"/>
      <c r="V207" s="136"/>
      <c r="W207" s="136"/>
      <c r="X207" s="136"/>
      <c r="Y207" s="136"/>
      <c r="Z207" s="136"/>
      <c r="AA207" s="231"/>
    </row>
    <row r="208" spans="1:27" x14ac:dyDescent="0.2">
      <c r="A208" s="39"/>
      <c r="B208" s="39"/>
      <c r="C208" s="43"/>
      <c r="D208" s="43"/>
      <c r="E208" s="43"/>
      <c r="F208" s="132"/>
      <c r="G208" s="41" t="e">
        <f>VLOOKUP(F208,Pcode!A:B,2,FALSE)</f>
        <v>#N/A</v>
      </c>
      <c r="H208" s="41"/>
      <c r="I208" s="41" t="e">
        <f>VLOOKUP(H208,Pcode!C:D,2,FALSE)</f>
        <v>#N/A</v>
      </c>
      <c r="J208" s="41"/>
      <c r="K208" s="160"/>
      <c r="L208" s="160"/>
      <c r="M208" s="46"/>
      <c r="N208" s="136"/>
      <c r="O208" s="136"/>
      <c r="P208" s="136"/>
      <c r="Q208" s="136"/>
      <c r="R208" s="136"/>
      <c r="S208" s="136"/>
      <c r="T208" s="136"/>
      <c r="U208" s="136"/>
      <c r="V208" s="136"/>
      <c r="W208" s="136"/>
      <c r="X208" s="136"/>
      <c r="Y208" s="136"/>
      <c r="Z208" s="136"/>
      <c r="AA208" s="231"/>
    </row>
    <row r="209" spans="1:27" x14ac:dyDescent="0.2">
      <c r="A209" s="39"/>
      <c r="B209" s="39"/>
      <c r="C209" s="43"/>
      <c r="D209" s="43"/>
      <c r="E209" s="43"/>
      <c r="F209" s="132"/>
      <c r="G209" s="41" t="e">
        <f>VLOOKUP(F209,Pcode!A:B,2,FALSE)</f>
        <v>#N/A</v>
      </c>
      <c r="H209" s="41"/>
      <c r="I209" s="41" t="e">
        <f>VLOOKUP(H209,Pcode!C:D,2,FALSE)</f>
        <v>#N/A</v>
      </c>
      <c r="J209" s="41"/>
      <c r="K209" s="160"/>
      <c r="L209" s="160"/>
      <c r="M209" s="46"/>
      <c r="N209" s="136"/>
      <c r="O209" s="136"/>
      <c r="P209" s="136"/>
      <c r="Q209" s="136"/>
      <c r="R209" s="136"/>
      <c r="S209" s="136"/>
      <c r="T209" s="136"/>
      <c r="U209" s="136"/>
      <c r="V209" s="136"/>
      <c r="W209" s="136"/>
      <c r="X209" s="136"/>
      <c r="Y209" s="136"/>
      <c r="Z209" s="136"/>
      <c r="AA209" s="231"/>
    </row>
    <row r="210" spans="1:27" x14ac:dyDescent="0.2">
      <c r="A210" s="39"/>
      <c r="B210" s="39"/>
      <c r="C210" s="43"/>
      <c r="D210" s="43"/>
      <c r="E210" s="43"/>
      <c r="F210" s="132"/>
      <c r="G210" s="41" t="e">
        <f>VLOOKUP(F210,Pcode!A:B,2,FALSE)</f>
        <v>#N/A</v>
      </c>
      <c r="H210" s="41"/>
      <c r="I210" s="41" t="e">
        <f>VLOOKUP(H210,Pcode!C:D,2,FALSE)</f>
        <v>#N/A</v>
      </c>
      <c r="J210" s="41"/>
      <c r="K210" s="160"/>
      <c r="L210" s="160"/>
      <c r="M210" s="46"/>
      <c r="N210" s="136"/>
      <c r="O210" s="136"/>
      <c r="P210" s="136"/>
      <c r="Q210" s="136"/>
      <c r="R210" s="136"/>
      <c r="S210" s="136"/>
      <c r="T210" s="136"/>
      <c r="U210" s="136"/>
      <c r="V210" s="136"/>
      <c r="W210" s="136"/>
      <c r="X210" s="136"/>
      <c r="Y210" s="136"/>
      <c r="Z210" s="136"/>
      <c r="AA210" s="231"/>
    </row>
    <row r="211" spans="1:27" x14ac:dyDescent="0.2">
      <c r="A211" s="39"/>
      <c r="B211" s="39"/>
      <c r="C211" s="43"/>
      <c r="D211" s="43"/>
      <c r="E211" s="43"/>
      <c r="F211" s="132"/>
      <c r="G211" s="41" t="e">
        <f>VLOOKUP(F211,Pcode!A:B,2,FALSE)</f>
        <v>#N/A</v>
      </c>
      <c r="H211" s="41"/>
      <c r="I211" s="41" t="e">
        <f>VLOOKUP(H211,Pcode!C:D,2,FALSE)</f>
        <v>#N/A</v>
      </c>
      <c r="J211" s="41"/>
      <c r="K211" s="160"/>
      <c r="L211" s="160"/>
      <c r="M211" s="46"/>
      <c r="N211" s="136"/>
      <c r="O211" s="136"/>
      <c r="P211" s="136"/>
      <c r="Q211" s="136"/>
      <c r="R211" s="136"/>
      <c r="S211" s="136"/>
      <c r="T211" s="136"/>
      <c r="U211" s="136"/>
      <c r="V211" s="136"/>
      <c r="W211" s="136"/>
      <c r="X211" s="136"/>
      <c r="Y211" s="136"/>
      <c r="Z211" s="136"/>
      <c r="AA211" s="231"/>
    </row>
    <row r="212" spans="1:27" x14ac:dyDescent="0.2">
      <c r="A212" s="39"/>
      <c r="B212" s="39"/>
      <c r="C212" s="43"/>
      <c r="D212" s="43"/>
      <c r="E212" s="43"/>
      <c r="F212" s="132"/>
      <c r="G212" s="41" t="e">
        <f>VLOOKUP(F212,Pcode!A:B,2,FALSE)</f>
        <v>#N/A</v>
      </c>
      <c r="H212" s="41"/>
      <c r="I212" s="41" t="e">
        <f>VLOOKUP(H212,Pcode!C:D,2,FALSE)</f>
        <v>#N/A</v>
      </c>
      <c r="J212" s="41"/>
      <c r="K212" s="160"/>
      <c r="L212" s="160"/>
      <c r="M212" s="46"/>
      <c r="N212" s="136"/>
      <c r="O212" s="136"/>
      <c r="P212" s="136"/>
      <c r="Q212" s="136"/>
      <c r="R212" s="136"/>
      <c r="S212" s="136"/>
      <c r="T212" s="136"/>
      <c r="U212" s="136"/>
      <c r="V212" s="136"/>
      <c r="W212" s="136"/>
      <c r="X212" s="136"/>
      <c r="Y212" s="136"/>
      <c r="Z212" s="136"/>
      <c r="AA212" s="231"/>
    </row>
    <row r="213" spans="1:27" x14ac:dyDescent="0.2">
      <c r="A213" s="39"/>
      <c r="B213" s="39"/>
      <c r="C213" s="43"/>
      <c r="D213" s="43"/>
      <c r="E213" s="43"/>
      <c r="F213" s="132"/>
      <c r="G213" s="41" t="e">
        <f>VLOOKUP(F213,Pcode!A:B,2,FALSE)</f>
        <v>#N/A</v>
      </c>
      <c r="H213" s="41"/>
      <c r="I213" s="41" t="e">
        <f>VLOOKUP(H213,Pcode!C:D,2,FALSE)</f>
        <v>#N/A</v>
      </c>
      <c r="J213" s="41"/>
      <c r="K213" s="160"/>
      <c r="L213" s="160"/>
      <c r="M213" s="46"/>
      <c r="N213" s="136"/>
      <c r="O213" s="136"/>
      <c r="P213" s="136"/>
      <c r="Q213" s="136"/>
      <c r="R213" s="136"/>
      <c r="S213" s="136"/>
      <c r="T213" s="136"/>
      <c r="U213" s="136"/>
      <c r="V213" s="136"/>
      <c r="W213" s="136"/>
      <c r="X213" s="136"/>
      <c r="Y213" s="136"/>
      <c r="Z213" s="136"/>
      <c r="AA213" s="231"/>
    </row>
    <row r="214" spans="1:27" x14ac:dyDescent="0.2">
      <c r="A214" s="39"/>
      <c r="B214" s="39"/>
      <c r="C214" s="43"/>
      <c r="D214" s="43"/>
      <c r="E214" s="43"/>
      <c r="F214" s="132"/>
      <c r="G214" s="41" t="e">
        <f>VLOOKUP(F214,Pcode!A:B,2,FALSE)</f>
        <v>#N/A</v>
      </c>
      <c r="H214" s="41"/>
      <c r="I214" s="41" t="e">
        <f>VLOOKUP(H214,Pcode!C:D,2,FALSE)</f>
        <v>#N/A</v>
      </c>
      <c r="J214" s="41"/>
      <c r="K214" s="160"/>
      <c r="L214" s="160"/>
      <c r="M214" s="46"/>
      <c r="N214" s="136"/>
      <c r="O214" s="136"/>
      <c r="P214" s="136"/>
      <c r="Q214" s="136"/>
      <c r="R214" s="136"/>
      <c r="S214" s="136"/>
      <c r="T214" s="136"/>
      <c r="U214" s="136"/>
      <c r="V214" s="136"/>
      <c r="W214" s="136"/>
      <c r="X214" s="136"/>
      <c r="Y214" s="136"/>
      <c r="Z214" s="136"/>
      <c r="AA214" s="231"/>
    </row>
    <row r="215" spans="1:27" x14ac:dyDescent="0.2">
      <c r="A215" s="39"/>
      <c r="B215" s="39"/>
      <c r="C215" s="43"/>
      <c r="D215" s="43"/>
      <c r="E215" s="43"/>
      <c r="F215" s="132"/>
      <c r="G215" s="41" t="e">
        <f>VLOOKUP(F215,Pcode!A:B,2,FALSE)</f>
        <v>#N/A</v>
      </c>
      <c r="H215" s="41"/>
      <c r="I215" s="41" t="e">
        <f>VLOOKUP(H215,Pcode!C:D,2,FALSE)</f>
        <v>#N/A</v>
      </c>
      <c r="J215" s="41"/>
      <c r="K215" s="160"/>
      <c r="L215" s="160"/>
      <c r="M215" s="46"/>
      <c r="N215" s="136"/>
      <c r="O215" s="136"/>
      <c r="P215" s="136"/>
      <c r="Q215" s="136"/>
      <c r="R215" s="136"/>
      <c r="S215" s="136"/>
      <c r="T215" s="136"/>
      <c r="U215" s="136"/>
      <c r="V215" s="136"/>
      <c r="W215" s="136"/>
      <c r="X215" s="136"/>
      <c r="Y215" s="136"/>
      <c r="Z215" s="136"/>
      <c r="AA215" s="231"/>
    </row>
    <row r="216" spans="1:27" x14ac:dyDescent="0.2">
      <c r="A216" s="39"/>
      <c r="B216" s="39"/>
      <c r="C216" s="43"/>
      <c r="D216" s="43"/>
      <c r="E216" s="43"/>
      <c r="F216" s="132"/>
      <c r="G216" s="41" t="e">
        <f>VLOOKUP(F216,Pcode!A:B,2,FALSE)</f>
        <v>#N/A</v>
      </c>
      <c r="H216" s="41"/>
      <c r="I216" s="41" t="e">
        <f>VLOOKUP(H216,Pcode!C:D,2,FALSE)</f>
        <v>#N/A</v>
      </c>
      <c r="J216" s="41"/>
      <c r="K216" s="160"/>
      <c r="L216" s="160"/>
      <c r="M216" s="46"/>
      <c r="N216" s="136"/>
      <c r="O216" s="136"/>
      <c r="P216" s="136"/>
      <c r="Q216" s="136"/>
      <c r="R216" s="136"/>
      <c r="S216" s="136"/>
      <c r="T216" s="136"/>
      <c r="U216" s="136"/>
      <c r="V216" s="136"/>
      <c r="W216" s="136"/>
      <c r="X216" s="136"/>
      <c r="Y216" s="136"/>
      <c r="Z216" s="136"/>
      <c r="AA216" s="231"/>
    </row>
    <row r="217" spans="1:27" x14ac:dyDescent="0.2">
      <c r="A217" s="39"/>
      <c r="B217" s="39"/>
      <c r="C217" s="43"/>
      <c r="D217" s="43"/>
      <c r="E217" s="43"/>
      <c r="F217" s="132"/>
      <c r="G217" s="41" t="e">
        <f>VLOOKUP(F217,Pcode!A:B,2,FALSE)</f>
        <v>#N/A</v>
      </c>
      <c r="H217" s="41"/>
      <c r="I217" s="41" t="e">
        <f>VLOOKUP(H217,Pcode!C:D,2,FALSE)</f>
        <v>#N/A</v>
      </c>
      <c r="J217" s="41"/>
      <c r="K217" s="160"/>
      <c r="L217" s="160"/>
      <c r="M217" s="46"/>
      <c r="N217" s="136"/>
      <c r="O217" s="136"/>
      <c r="P217" s="136"/>
      <c r="Q217" s="136"/>
      <c r="R217" s="136"/>
      <c r="S217" s="136"/>
      <c r="T217" s="136"/>
      <c r="U217" s="136"/>
      <c r="V217" s="136"/>
      <c r="W217" s="136"/>
      <c r="X217" s="136"/>
      <c r="Y217" s="136"/>
      <c r="Z217" s="136"/>
      <c r="AA217" s="231"/>
    </row>
    <row r="218" spans="1:27" x14ac:dyDescent="0.2">
      <c r="A218" s="39"/>
      <c r="B218" s="39"/>
      <c r="C218" s="43"/>
      <c r="D218" s="43"/>
      <c r="E218" s="43"/>
      <c r="F218" s="132"/>
      <c r="G218" s="41" t="e">
        <f>VLOOKUP(F218,Pcode!A:B,2,FALSE)</f>
        <v>#N/A</v>
      </c>
      <c r="H218" s="41"/>
      <c r="I218" s="41" t="e">
        <f>VLOOKUP(H218,Pcode!C:D,2,FALSE)</f>
        <v>#N/A</v>
      </c>
      <c r="J218" s="41"/>
      <c r="K218" s="160"/>
      <c r="L218" s="160"/>
      <c r="M218" s="46"/>
      <c r="N218" s="136"/>
      <c r="O218" s="136"/>
      <c r="P218" s="136"/>
      <c r="Q218" s="136"/>
      <c r="R218" s="136"/>
      <c r="S218" s="136"/>
      <c r="T218" s="136"/>
      <c r="U218" s="136"/>
      <c r="V218" s="136"/>
      <c r="W218" s="136"/>
      <c r="X218" s="136"/>
      <c r="Y218" s="136"/>
      <c r="Z218" s="136"/>
      <c r="AA218" s="231"/>
    </row>
    <row r="219" spans="1:27" x14ac:dyDescent="0.2">
      <c r="A219" s="39"/>
      <c r="B219" s="39"/>
      <c r="C219" s="43"/>
      <c r="D219" s="43"/>
      <c r="E219" s="43"/>
      <c r="F219" s="132"/>
      <c r="G219" s="41" t="e">
        <f>VLOOKUP(F219,Pcode!A:B,2,FALSE)</f>
        <v>#N/A</v>
      </c>
      <c r="H219" s="41"/>
      <c r="I219" s="41" t="e">
        <f>VLOOKUP(H219,Pcode!C:D,2,FALSE)</f>
        <v>#N/A</v>
      </c>
      <c r="J219" s="41"/>
      <c r="K219" s="160"/>
      <c r="L219" s="160"/>
      <c r="M219" s="46"/>
      <c r="N219" s="136"/>
      <c r="O219" s="136"/>
      <c r="P219" s="136"/>
      <c r="Q219" s="136"/>
      <c r="R219" s="136"/>
      <c r="S219" s="136"/>
      <c r="T219" s="136"/>
      <c r="U219" s="136"/>
      <c r="V219" s="136"/>
      <c r="W219" s="136"/>
      <c r="X219" s="136"/>
      <c r="Y219" s="136"/>
      <c r="Z219" s="136"/>
      <c r="AA219" s="231"/>
    </row>
    <row r="220" spans="1:27" x14ac:dyDescent="0.2">
      <c r="A220" s="39"/>
      <c r="B220" s="39"/>
      <c r="C220" s="43"/>
      <c r="D220" s="43"/>
      <c r="E220" s="43"/>
      <c r="F220" s="132"/>
      <c r="G220" s="41" t="e">
        <f>VLOOKUP(F220,Pcode!A:B,2,FALSE)</f>
        <v>#N/A</v>
      </c>
      <c r="H220" s="41"/>
      <c r="I220" s="41" t="e">
        <f>VLOOKUP(H220,Pcode!C:D,2,FALSE)</f>
        <v>#N/A</v>
      </c>
      <c r="J220" s="41"/>
      <c r="K220" s="160"/>
      <c r="L220" s="160"/>
      <c r="M220" s="46"/>
      <c r="N220" s="136"/>
      <c r="O220" s="136"/>
      <c r="P220" s="136"/>
      <c r="Q220" s="136"/>
      <c r="R220" s="136"/>
      <c r="S220" s="136"/>
      <c r="T220" s="136"/>
      <c r="U220" s="136"/>
      <c r="V220" s="136"/>
      <c r="W220" s="136"/>
      <c r="X220" s="136"/>
      <c r="Y220" s="136"/>
      <c r="Z220" s="136"/>
      <c r="AA220" s="231"/>
    </row>
    <row r="221" spans="1:27" x14ac:dyDescent="0.2">
      <c r="A221" s="39"/>
      <c r="B221" s="39"/>
      <c r="C221" s="43"/>
      <c r="D221" s="43"/>
      <c r="E221" s="43"/>
      <c r="F221" s="132"/>
      <c r="G221" s="41" t="e">
        <f>VLOOKUP(F221,Pcode!A:B,2,FALSE)</f>
        <v>#N/A</v>
      </c>
      <c r="H221" s="41"/>
      <c r="I221" s="41" t="e">
        <f>VLOOKUP(H221,Pcode!C:D,2,FALSE)</f>
        <v>#N/A</v>
      </c>
      <c r="J221" s="41"/>
      <c r="K221" s="160"/>
      <c r="L221" s="160"/>
      <c r="M221" s="46"/>
      <c r="N221" s="136"/>
      <c r="O221" s="136"/>
      <c r="P221" s="136"/>
      <c r="Q221" s="136"/>
      <c r="R221" s="136"/>
      <c r="S221" s="136"/>
      <c r="T221" s="136"/>
      <c r="U221" s="136"/>
      <c r="V221" s="136"/>
      <c r="W221" s="136"/>
      <c r="X221" s="136"/>
      <c r="Y221" s="136"/>
      <c r="Z221" s="136"/>
      <c r="AA221" s="231"/>
    </row>
    <row r="222" spans="1:27" x14ac:dyDescent="0.2">
      <c r="A222" s="39"/>
      <c r="B222" s="39"/>
      <c r="C222" s="43"/>
      <c r="D222" s="43"/>
      <c r="E222" s="43"/>
      <c r="F222" s="132"/>
      <c r="G222" s="41" t="e">
        <f>VLOOKUP(F222,Pcode!A:B,2,FALSE)</f>
        <v>#N/A</v>
      </c>
      <c r="H222" s="41"/>
      <c r="I222" s="41" t="e">
        <f>VLOOKUP(H222,Pcode!C:D,2,FALSE)</f>
        <v>#N/A</v>
      </c>
      <c r="J222" s="41"/>
      <c r="K222" s="160"/>
      <c r="L222" s="160"/>
      <c r="M222" s="46"/>
      <c r="N222" s="136"/>
      <c r="O222" s="136"/>
      <c r="P222" s="136"/>
      <c r="Q222" s="136"/>
      <c r="R222" s="136"/>
      <c r="S222" s="136"/>
      <c r="T222" s="136"/>
      <c r="U222" s="136"/>
      <c r="V222" s="136"/>
      <c r="W222" s="136"/>
      <c r="X222" s="136"/>
      <c r="Y222" s="136"/>
      <c r="Z222" s="136"/>
      <c r="AA222" s="231"/>
    </row>
    <row r="223" spans="1:27" x14ac:dyDescent="0.2">
      <c r="A223" s="39"/>
      <c r="B223" s="39"/>
      <c r="C223" s="43"/>
      <c r="D223" s="43"/>
      <c r="E223" s="43"/>
      <c r="F223" s="132"/>
      <c r="G223" s="41" t="e">
        <f>VLOOKUP(F223,Pcode!A:B,2,FALSE)</f>
        <v>#N/A</v>
      </c>
      <c r="H223" s="41"/>
      <c r="I223" s="41" t="e">
        <f>VLOOKUP(H223,Pcode!C:D,2,FALSE)</f>
        <v>#N/A</v>
      </c>
      <c r="J223" s="41"/>
      <c r="K223" s="160"/>
      <c r="L223" s="160"/>
      <c r="M223" s="46"/>
      <c r="N223" s="136"/>
      <c r="O223" s="136"/>
      <c r="P223" s="136"/>
      <c r="Q223" s="136"/>
      <c r="R223" s="136"/>
      <c r="S223" s="136"/>
      <c r="T223" s="136"/>
      <c r="U223" s="136"/>
      <c r="V223" s="136"/>
      <c r="W223" s="136"/>
      <c r="X223" s="136"/>
      <c r="Y223" s="136"/>
      <c r="Z223" s="136"/>
      <c r="AA223" s="231"/>
    </row>
    <row r="224" spans="1:27" x14ac:dyDescent="0.2">
      <c r="A224" s="39"/>
      <c r="B224" s="39"/>
      <c r="C224" s="43"/>
      <c r="D224" s="43"/>
      <c r="E224" s="43"/>
      <c r="F224" s="132"/>
      <c r="G224" s="41" t="e">
        <f>VLOOKUP(F224,Pcode!A:B,2,FALSE)</f>
        <v>#N/A</v>
      </c>
      <c r="H224" s="41"/>
      <c r="I224" s="41" t="e">
        <f>VLOOKUP(H224,Pcode!C:D,2,FALSE)</f>
        <v>#N/A</v>
      </c>
      <c r="J224" s="41"/>
      <c r="K224" s="160"/>
      <c r="L224" s="160"/>
      <c r="M224" s="46"/>
      <c r="N224" s="136"/>
      <c r="O224" s="136"/>
      <c r="P224" s="136"/>
      <c r="Q224" s="136"/>
      <c r="R224" s="136"/>
      <c r="S224" s="136"/>
      <c r="T224" s="136"/>
      <c r="U224" s="136"/>
      <c r="V224" s="136"/>
      <c r="W224" s="136"/>
      <c r="X224" s="136"/>
      <c r="Y224" s="136"/>
      <c r="Z224" s="136"/>
      <c r="AA224" s="231"/>
    </row>
    <row r="225" spans="1:27" x14ac:dyDescent="0.2">
      <c r="A225" s="39"/>
      <c r="B225" s="39"/>
      <c r="C225" s="43"/>
      <c r="D225" s="43"/>
      <c r="E225" s="43"/>
      <c r="F225" s="132"/>
      <c r="G225" s="41" t="e">
        <f>VLOOKUP(F225,Pcode!A:B,2,FALSE)</f>
        <v>#N/A</v>
      </c>
      <c r="H225" s="41"/>
      <c r="I225" s="41" t="e">
        <f>VLOOKUP(H225,Pcode!C:D,2,FALSE)</f>
        <v>#N/A</v>
      </c>
      <c r="J225" s="41"/>
      <c r="K225" s="160"/>
      <c r="L225" s="160"/>
      <c r="M225" s="46"/>
      <c r="N225" s="136"/>
      <c r="O225" s="136"/>
      <c r="P225" s="136"/>
      <c r="Q225" s="136"/>
      <c r="R225" s="136"/>
      <c r="S225" s="136"/>
      <c r="T225" s="136"/>
      <c r="U225" s="136"/>
      <c r="V225" s="136"/>
      <c r="W225" s="136"/>
      <c r="X225" s="136"/>
      <c r="Y225" s="136"/>
      <c r="Z225" s="136"/>
      <c r="AA225" s="231"/>
    </row>
    <row r="226" spans="1:27" x14ac:dyDescent="0.2">
      <c r="A226" s="39"/>
      <c r="B226" s="39"/>
      <c r="C226" s="43"/>
      <c r="D226" s="43"/>
      <c r="E226" s="43"/>
      <c r="F226" s="132"/>
      <c r="G226" s="41" t="e">
        <f>VLOOKUP(F226,Pcode!A:B,2,FALSE)</f>
        <v>#N/A</v>
      </c>
      <c r="H226" s="41"/>
      <c r="I226" s="41" t="e">
        <f>VLOOKUP(H226,Pcode!C:D,2,FALSE)</f>
        <v>#N/A</v>
      </c>
      <c r="J226" s="41"/>
      <c r="K226" s="160"/>
      <c r="L226" s="160"/>
      <c r="M226" s="46"/>
      <c r="N226" s="136"/>
      <c r="O226" s="136"/>
      <c r="P226" s="136"/>
      <c r="Q226" s="136"/>
      <c r="R226" s="136"/>
      <c r="S226" s="136"/>
      <c r="T226" s="136"/>
      <c r="U226" s="136"/>
      <c r="V226" s="136"/>
      <c r="W226" s="136"/>
      <c r="X226" s="136"/>
      <c r="Y226" s="136"/>
      <c r="Z226" s="136"/>
      <c r="AA226" s="231"/>
    </row>
    <row r="227" spans="1:27" x14ac:dyDescent="0.2">
      <c r="A227" s="39"/>
      <c r="B227" s="39"/>
      <c r="C227" s="43"/>
      <c r="D227" s="43"/>
      <c r="E227" s="43"/>
      <c r="F227" s="132"/>
      <c r="G227" s="41" t="e">
        <f>VLOOKUP(F227,Pcode!A:B,2,FALSE)</f>
        <v>#N/A</v>
      </c>
      <c r="H227" s="41"/>
      <c r="I227" s="41" t="e">
        <f>VLOOKUP(H227,Pcode!C:D,2,FALSE)</f>
        <v>#N/A</v>
      </c>
      <c r="J227" s="41"/>
      <c r="K227" s="160"/>
      <c r="L227" s="160"/>
      <c r="M227" s="46"/>
      <c r="N227" s="136"/>
      <c r="O227" s="136"/>
      <c r="P227" s="136"/>
      <c r="Q227" s="136"/>
      <c r="R227" s="136"/>
      <c r="S227" s="136"/>
      <c r="T227" s="136"/>
      <c r="U227" s="136"/>
      <c r="V227" s="136"/>
      <c r="W227" s="136"/>
      <c r="X227" s="136"/>
      <c r="Y227" s="136"/>
      <c r="Z227" s="136"/>
      <c r="AA227" s="231"/>
    </row>
    <row r="228" spans="1:27" x14ac:dyDescent="0.2">
      <c r="A228" s="39"/>
      <c r="B228" s="39"/>
      <c r="C228" s="43"/>
      <c r="D228" s="43"/>
      <c r="E228" s="43"/>
      <c r="F228" s="132"/>
      <c r="G228" s="41" t="e">
        <f>VLOOKUP(F228,Pcode!A:B,2,FALSE)</f>
        <v>#N/A</v>
      </c>
      <c r="H228" s="41"/>
      <c r="I228" s="41" t="e">
        <f>VLOOKUP(H228,Pcode!C:D,2,FALSE)</f>
        <v>#N/A</v>
      </c>
      <c r="J228" s="41"/>
      <c r="K228" s="160"/>
      <c r="L228" s="160"/>
      <c r="M228" s="46"/>
      <c r="N228" s="136"/>
      <c r="O228" s="136"/>
      <c r="P228" s="136"/>
      <c r="Q228" s="136"/>
      <c r="R228" s="136"/>
      <c r="S228" s="136"/>
      <c r="T228" s="136"/>
      <c r="U228" s="136"/>
      <c r="V228" s="136"/>
      <c r="W228" s="136"/>
      <c r="X228" s="136"/>
      <c r="Y228" s="136"/>
      <c r="Z228" s="136"/>
      <c r="AA228" s="231"/>
    </row>
    <row r="229" spans="1:27" x14ac:dyDescent="0.2">
      <c r="A229" s="39"/>
      <c r="B229" s="39"/>
      <c r="C229" s="43"/>
      <c r="D229" s="43"/>
      <c r="E229" s="43"/>
      <c r="F229" s="132"/>
      <c r="G229" s="41" t="e">
        <f>VLOOKUP(F229,Pcode!A:B,2,FALSE)</f>
        <v>#N/A</v>
      </c>
      <c r="H229" s="41"/>
      <c r="I229" s="41" t="e">
        <f>VLOOKUP(H229,Pcode!C:D,2,FALSE)</f>
        <v>#N/A</v>
      </c>
      <c r="J229" s="41"/>
      <c r="K229" s="160"/>
      <c r="L229" s="160"/>
      <c r="M229" s="46"/>
      <c r="N229" s="136"/>
      <c r="O229" s="136"/>
      <c r="P229" s="136"/>
      <c r="Q229" s="136"/>
      <c r="R229" s="136"/>
      <c r="S229" s="136"/>
      <c r="T229" s="136"/>
      <c r="U229" s="136"/>
      <c r="V229" s="136"/>
      <c r="W229" s="136"/>
      <c r="X229" s="136"/>
      <c r="Y229" s="136"/>
      <c r="Z229" s="136"/>
      <c r="AA229" s="231"/>
    </row>
    <row r="230" spans="1:27" x14ac:dyDescent="0.2">
      <c r="A230" s="39"/>
      <c r="B230" s="39"/>
      <c r="C230" s="43"/>
      <c r="D230" s="43"/>
      <c r="E230" s="43"/>
      <c r="F230" s="132"/>
      <c r="G230" s="41" t="e">
        <f>VLOOKUP(F230,Pcode!A:B,2,FALSE)</f>
        <v>#N/A</v>
      </c>
      <c r="H230" s="41"/>
      <c r="I230" s="41" t="e">
        <f>VLOOKUP(H230,Pcode!C:D,2,FALSE)</f>
        <v>#N/A</v>
      </c>
      <c r="J230" s="41"/>
      <c r="K230" s="160"/>
      <c r="L230" s="160"/>
      <c r="M230" s="46"/>
      <c r="N230" s="136"/>
      <c r="O230" s="136"/>
      <c r="P230" s="136"/>
      <c r="Q230" s="136"/>
      <c r="R230" s="136"/>
      <c r="S230" s="136"/>
      <c r="T230" s="136"/>
      <c r="U230" s="136"/>
      <c r="V230" s="136"/>
      <c r="W230" s="136"/>
      <c r="X230" s="136"/>
      <c r="Y230" s="136"/>
      <c r="Z230" s="136"/>
      <c r="AA230" s="231"/>
    </row>
    <row r="231" spans="1:27" x14ac:dyDescent="0.2">
      <c r="A231" s="39"/>
      <c r="B231" s="39"/>
      <c r="C231" s="43"/>
      <c r="D231" s="43"/>
      <c r="E231" s="43"/>
      <c r="F231" s="132"/>
      <c r="G231" s="41" t="e">
        <f>VLOOKUP(F231,Pcode!A:B,2,FALSE)</f>
        <v>#N/A</v>
      </c>
      <c r="H231" s="41"/>
      <c r="I231" s="41" t="e">
        <f>VLOOKUP(H231,Pcode!C:D,2,FALSE)</f>
        <v>#N/A</v>
      </c>
      <c r="J231" s="41"/>
      <c r="K231" s="160"/>
      <c r="L231" s="160"/>
      <c r="M231" s="46"/>
      <c r="N231" s="136"/>
      <c r="O231" s="136"/>
      <c r="P231" s="136"/>
      <c r="Q231" s="136"/>
      <c r="R231" s="136"/>
      <c r="S231" s="136"/>
      <c r="T231" s="136"/>
      <c r="U231" s="136"/>
      <c r="V231" s="136"/>
      <c r="W231" s="136"/>
      <c r="X231" s="136"/>
      <c r="Y231" s="136"/>
      <c r="Z231" s="136"/>
      <c r="AA231" s="231"/>
    </row>
    <row r="232" spans="1:27" x14ac:dyDescent="0.2">
      <c r="A232" s="39"/>
      <c r="B232" s="39"/>
      <c r="C232" s="43"/>
      <c r="D232" s="43"/>
      <c r="E232" s="43"/>
      <c r="F232" s="132"/>
      <c r="G232" s="41" t="e">
        <f>VLOOKUP(F232,Pcode!A:B,2,FALSE)</f>
        <v>#N/A</v>
      </c>
      <c r="H232" s="41"/>
      <c r="I232" s="41" t="e">
        <f>VLOOKUP(H232,Pcode!C:D,2,FALSE)</f>
        <v>#N/A</v>
      </c>
      <c r="J232" s="41"/>
      <c r="K232" s="160"/>
      <c r="L232" s="160"/>
      <c r="M232" s="46"/>
      <c r="N232" s="136"/>
      <c r="O232" s="136"/>
      <c r="P232" s="136"/>
      <c r="Q232" s="136"/>
      <c r="R232" s="136"/>
      <c r="S232" s="136"/>
      <c r="T232" s="136"/>
      <c r="U232" s="136"/>
      <c r="V232" s="136"/>
      <c r="W232" s="136"/>
      <c r="X232" s="136"/>
      <c r="Y232" s="136"/>
      <c r="Z232" s="136"/>
      <c r="AA232" s="231"/>
    </row>
    <row r="233" spans="1:27" x14ac:dyDescent="0.2">
      <c r="A233" s="39"/>
      <c r="B233" s="39"/>
      <c r="C233" s="43"/>
      <c r="D233" s="43"/>
      <c r="E233" s="43"/>
      <c r="F233" s="132"/>
      <c r="G233" s="41" t="e">
        <f>VLOOKUP(F233,Pcode!A:B,2,FALSE)</f>
        <v>#N/A</v>
      </c>
      <c r="H233" s="41"/>
      <c r="I233" s="41" t="e">
        <f>VLOOKUP(H233,Pcode!C:D,2,FALSE)</f>
        <v>#N/A</v>
      </c>
      <c r="J233" s="41"/>
      <c r="K233" s="160"/>
      <c r="L233" s="160"/>
      <c r="M233" s="46"/>
      <c r="N233" s="136"/>
      <c r="O233" s="136"/>
      <c r="P233" s="136"/>
      <c r="Q233" s="136"/>
      <c r="R233" s="136"/>
      <c r="S233" s="136"/>
      <c r="T233" s="136"/>
      <c r="U233" s="136"/>
      <c r="V233" s="136"/>
      <c r="W233" s="136"/>
      <c r="X233" s="136"/>
      <c r="Y233" s="136"/>
      <c r="Z233" s="136"/>
      <c r="AA233" s="231"/>
    </row>
    <row r="234" spans="1:27" x14ac:dyDescent="0.2">
      <c r="A234" s="39"/>
      <c r="B234" s="39"/>
      <c r="C234" s="43"/>
      <c r="D234" s="43"/>
      <c r="E234" s="43"/>
      <c r="F234" s="132"/>
      <c r="G234" s="41" t="e">
        <f>VLOOKUP(F234,Pcode!A:B,2,FALSE)</f>
        <v>#N/A</v>
      </c>
      <c r="H234" s="41"/>
      <c r="I234" s="41" t="e">
        <f>VLOOKUP(H234,Pcode!C:D,2,FALSE)</f>
        <v>#N/A</v>
      </c>
      <c r="J234" s="41"/>
      <c r="K234" s="160"/>
      <c r="L234" s="160"/>
      <c r="M234" s="46"/>
      <c r="N234" s="136"/>
      <c r="O234" s="136"/>
      <c r="P234" s="136"/>
      <c r="Q234" s="136"/>
      <c r="R234" s="136"/>
      <c r="S234" s="136"/>
      <c r="T234" s="136"/>
      <c r="U234" s="136"/>
      <c r="V234" s="136"/>
      <c r="W234" s="136"/>
      <c r="X234" s="136"/>
      <c r="Y234" s="136"/>
      <c r="Z234" s="136"/>
      <c r="AA234" s="231"/>
    </row>
    <row r="235" spans="1:27" x14ac:dyDescent="0.2">
      <c r="A235" s="39"/>
      <c r="B235" s="39"/>
      <c r="C235" s="43"/>
      <c r="D235" s="43"/>
      <c r="E235" s="43"/>
      <c r="F235" s="132"/>
      <c r="G235" s="41" t="e">
        <f>VLOOKUP(F235,Pcode!A:B,2,FALSE)</f>
        <v>#N/A</v>
      </c>
      <c r="H235" s="41"/>
      <c r="I235" s="41" t="e">
        <f>VLOOKUP(H235,Pcode!C:D,2,FALSE)</f>
        <v>#N/A</v>
      </c>
      <c r="J235" s="41"/>
      <c r="K235" s="160"/>
      <c r="L235" s="160"/>
      <c r="M235" s="46"/>
      <c r="N235" s="136"/>
      <c r="O235" s="136"/>
      <c r="P235" s="136"/>
      <c r="Q235" s="136"/>
      <c r="R235" s="136"/>
      <c r="S235" s="136"/>
      <c r="T235" s="136"/>
      <c r="U235" s="136"/>
      <c r="V235" s="136"/>
      <c r="W235" s="136"/>
      <c r="X235" s="136"/>
      <c r="Y235" s="136"/>
      <c r="Z235" s="136"/>
      <c r="AA235" s="231"/>
    </row>
    <row r="236" spans="1:27" x14ac:dyDescent="0.2">
      <c r="A236" s="39"/>
      <c r="B236" s="39"/>
      <c r="C236" s="43"/>
      <c r="D236" s="43"/>
      <c r="E236" s="43"/>
      <c r="F236" s="132"/>
      <c r="G236" s="41" t="e">
        <f>VLOOKUP(F236,Pcode!A:B,2,FALSE)</f>
        <v>#N/A</v>
      </c>
      <c r="H236" s="41"/>
      <c r="I236" s="41" t="e">
        <f>VLOOKUP(H236,Pcode!C:D,2,FALSE)</f>
        <v>#N/A</v>
      </c>
      <c r="J236" s="41"/>
      <c r="K236" s="160"/>
      <c r="L236" s="160"/>
      <c r="M236" s="46"/>
      <c r="N236" s="136"/>
      <c r="O236" s="136"/>
      <c r="P236" s="136"/>
      <c r="Q236" s="136"/>
      <c r="R236" s="136"/>
      <c r="S236" s="136"/>
      <c r="T236" s="136"/>
      <c r="U236" s="136"/>
      <c r="V236" s="136"/>
      <c r="W236" s="136"/>
      <c r="X236" s="136"/>
      <c r="Y236" s="136"/>
      <c r="Z236" s="136"/>
      <c r="AA236" s="231"/>
    </row>
    <row r="237" spans="1:27" x14ac:dyDescent="0.2">
      <c r="A237" s="39"/>
      <c r="B237" s="39"/>
      <c r="C237" s="43"/>
      <c r="D237" s="43"/>
      <c r="E237" s="43"/>
      <c r="F237" s="132"/>
      <c r="G237" s="41" t="e">
        <f>VLOOKUP(F237,Pcode!A:B,2,FALSE)</f>
        <v>#N/A</v>
      </c>
      <c r="H237" s="41"/>
      <c r="I237" s="41" t="e">
        <f>VLOOKUP(H237,Pcode!C:D,2,FALSE)</f>
        <v>#N/A</v>
      </c>
      <c r="J237" s="41"/>
      <c r="K237" s="160"/>
      <c r="L237" s="160"/>
      <c r="M237" s="46"/>
      <c r="N237" s="136"/>
      <c r="O237" s="136"/>
      <c r="P237" s="136"/>
      <c r="Q237" s="136"/>
      <c r="R237" s="136"/>
      <c r="S237" s="136"/>
      <c r="T237" s="136"/>
      <c r="U237" s="136"/>
      <c r="V237" s="136"/>
      <c r="W237" s="136"/>
      <c r="X237" s="136"/>
      <c r="Y237" s="136"/>
      <c r="Z237" s="136"/>
      <c r="AA237" s="231"/>
    </row>
    <row r="238" spans="1:27" x14ac:dyDescent="0.2">
      <c r="A238" s="39"/>
      <c r="B238" s="39"/>
      <c r="C238" s="43"/>
      <c r="D238" s="43"/>
      <c r="E238" s="43"/>
      <c r="F238" s="132"/>
      <c r="G238" s="41" t="e">
        <f>VLOOKUP(F238,Pcode!A:B,2,FALSE)</f>
        <v>#N/A</v>
      </c>
      <c r="H238" s="41"/>
      <c r="I238" s="41" t="e">
        <f>VLOOKUP(H238,Pcode!C:D,2,FALSE)</f>
        <v>#N/A</v>
      </c>
      <c r="J238" s="41"/>
      <c r="K238" s="160"/>
      <c r="L238" s="160"/>
      <c r="M238" s="46"/>
      <c r="N238" s="136"/>
      <c r="O238" s="136"/>
      <c r="P238" s="136"/>
      <c r="Q238" s="136"/>
      <c r="R238" s="136"/>
      <c r="S238" s="136"/>
      <c r="T238" s="136"/>
      <c r="U238" s="136"/>
      <c r="V238" s="136"/>
      <c r="W238" s="136"/>
      <c r="X238" s="136"/>
      <c r="Y238" s="136"/>
      <c r="Z238" s="136"/>
      <c r="AA238" s="231"/>
    </row>
    <row r="239" spans="1:27" x14ac:dyDescent="0.2">
      <c r="A239" s="39"/>
      <c r="B239" s="39"/>
      <c r="C239" s="43"/>
      <c r="D239" s="43"/>
      <c r="E239" s="43"/>
      <c r="F239" s="132"/>
      <c r="G239" s="41" t="e">
        <f>VLOOKUP(F239,Pcode!A:B,2,FALSE)</f>
        <v>#N/A</v>
      </c>
      <c r="H239" s="41"/>
      <c r="I239" s="41" t="e">
        <f>VLOOKUP(H239,Pcode!C:D,2,FALSE)</f>
        <v>#N/A</v>
      </c>
      <c r="J239" s="41"/>
      <c r="K239" s="160"/>
      <c r="L239" s="160"/>
      <c r="M239" s="46"/>
      <c r="N239" s="136"/>
      <c r="O239" s="136"/>
      <c r="P239" s="136"/>
      <c r="Q239" s="136"/>
      <c r="R239" s="136"/>
      <c r="S239" s="136"/>
      <c r="T239" s="136"/>
      <c r="U239" s="136"/>
      <c r="V239" s="136"/>
      <c r="W239" s="136"/>
      <c r="X239" s="136"/>
      <c r="Y239" s="136"/>
      <c r="Z239" s="136"/>
      <c r="AA239" s="231"/>
    </row>
    <row r="240" spans="1:27" x14ac:dyDescent="0.2">
      <c r="A240" s="39"/>
      <c r="B240" s="39"/>
      <c r="C240" s="43"/>
      <c r="D240" s="43"/>
      <c r="E240" s="43"/>
      <c r="F240" s="132"/>
      <c r="G240" s="41" t="e">
        <f>VLOOKUP(F240,Pcode!A:B,2,FALSE)</f>
        <v>#N/A</v>
      </c>
      <c r="H240" s="41"/>
      <c r="I240" s="41" t="e">
        <f>VLOOKUP(H240,Pcode!C:D,2,FALSE)</f>
        <v>#N/A</v>
      </c>
      <c r="J240" s="41"/>
      <c r="K240" s="160"/>
      <c r="L240" s="160"/>
      <c r="M240" s="46"/>
      <c r="N240" s="136"/>
      <c r="O240" s="136"/>
      <c r="P240" s="136"/>
      <c r="Q240" s="136"/>
      <c r="R240" s="136"/>
      <c r="S240" s="136"/>
      <c r="T240" s="136"/>
      <c r="U240" s="136"/>
      <c r="V240" s="136"/>
      <c r="W240" s="136"/>
      <c r="X240" s="136"/>
      <c r="Y240" s="136"/>
      <c r="Z240" s="136"/>
      <c r="AA240" s="231"/>
    </row>
    <row r="241" spans="1:27" x14ac:dyDescent="0.2">
      <c r="A241" s="39"/>
      <c r="B241" s="39"/>
      <c r="C241" s="43"/>
      <c r="D241" s="43"/>
      <c r="E241" s="43"/>
      <c r="F241" s="132"/>
      <c r="G241" s="41" t="e">
        <f>VLOOKUP(F241,Pcode!A:B,2,FALSE)</f>
        <v>#N/A</v>
      </c>
      <c r="H241" s="41"/>
      <c r="I241" s="41" t="e">
        <f>VLOOKUP(H241,Pcode!C:D,2,FALSE)</f>
        <v>#N/A</v>
      </c>
      <c r="J241" s="41"/>
      <c r="K241" s="160"/>
      <c r="L241" s="160"/>
      <c r="M241" s="46"/>
      <c r="N241" s="136"/>
      <c r="O241" s="136"/>
      <c r="P241" s="136"/>
      <c r="Q241" s="136"/>
      <c r="R241" s="136"/>
      <c r="S241" s="136"/>
      <c r="T241" s="136"/>
      <c r="U241" s="136"/>
      <c r="V241" s="136"/>
      <c r="W241" s="136"/>
      <c r="X241" s="136"/>
      <c r="Y241" s="136"/>
      <c r="Z241" s="136"/>
      <c r="AA241" s="231"/>
    </row>
    <row r="242" spans="1:27" x14ac:dyDescent="0.2">
      <c r="A242" s="39"/>
      <c r="B242" s="39"/>
      <c r="C242" s="43"/>
      <c r="D242" s="43"/>
      <c r="E242" s="43"/>
      <c r="F242" s="132"/>
      <c r="G242" s="41" t="e">
        <f>VLOOKUP(F242,Pcode!A:B,2,FALSE)</f>
        <v>#N/A</v>
      </c>
      <c r="H242" s="41"/>
      <c r="I242" s="41" t="e">
        <f>VLOOKUP(H242,Pcode!C:D,2,FALSE)</f>
        <v>#N/A</v>
      </c>
      <c r="J242" s="41"/>
      <c r="K242" s="160"/>
      <c r="L242" s="160"/>
      <c r="M242" s="46"/>
      <c r="N242" s="136"/>
      <c r="O242" s="136"/>
      <c r="P242" s="136"/>
      <c r="Q242" s="136"/>
      <c r="R242" s="136"/>
      <c r="S242" s="136"/>
      <c r="T242" s="136"/>
      <c r="U242" s="136"/>
      <c r="V242" s="136"/>
      <c r="W242" s="136"/>
      <c r="X242" s="136"/>
      <c r="Y242" s="136"/>
      <c r="Z242" s="136"/>
      <c r="AA242" s="231"/>
    </row>
    <row r="243" spans="1:27" x14ac:dyDescent="0.2">
      <c r="A243" s="39"/>
      <c r="B243" s="39"/>
      <c r="C243" s="43"/>
      <c r="D243" s="43"/>
      <c r="E243" s="43"/>
      <c r="F243" s="132"/>
      <c r="G243" s="41" t="e">
        <f>VLOOKUP(F243,Pcode!A:B,2,FALSE)</f>
        <v>#N/A</v>
      </c>
      <c r="H243" s="41"/>
      <c r="I243" s="41" t="e">
        <f>VLOOKUP(H243,Pcode!C:D,2,FALSE)</f>
        <v>#N/A</v>
      </c>
      <c r="J243" s="41"/>
      <c r="K243" s="160"/>
      <c r="L243" s="160"/>
      <c r="M243" s="46"/>
      <c r="N243" s="136"/>
      <c r="O243" s="136"/>
      <c r="P243" s="136"/>
      <c r="Q243" s="136"/>
      <c r="R243" s="136"/>
      <c r="S243" s="136"/>
      <c r="T243" s="136"/>
      <c r="U243" s="136"/>
      <c r="V243" s="136"/>
      <c r="W243" s="136"/>
      <c r="X243" s="136"/>
      <c r="Y243" s="136"/>
      <c r="Z243" s="136"/>
      <c r="AA243" s="231"/>
    </row>
    <row r="244" spans="1:27" x14ac:dyDescent="0.2">
      <c r="A244" s="39"/>
      <c r="B244" s="39"/>
      <c r="C244" s="43"/>
      <c r="D244" s="43"/>
      <c r="E244" s="43"/>
      <c r="F244" s="132"/>
      <c r="G244" s="41" t="e">
        <f>VLOOKUP(F244,Pcode!A:B,2,FALSE)</f>
        <v>#N/A</v>
      </c>
      <c r="H244" s="41"/>
      <c r="I244" s="41" t="e">
        <f>VLOOKUP(H244,Pcode!C:D,2,FALSE)</f>
        <v>#N/A</v>
      </c>
      <c r="J244" s="41"/>
      <c r="K244" s="160"/>
      <c r="L244" s="160"/>
      <c r="M244" s="46"/>
      <c r="N244" s="136"/>
      <c r="O244" s="136"/>
      <c r="P244" s="136"/>
      <c r="Q244" s="136"/>
      <c r="R244" s="136"/>
      <c r="S244" s="136"/>
      <c r="T244" s="136"/>
      <c r="U244" s="136"/>
      <c r="V244" s="136"/>
      <c r="W244" s="136"/>
      <c r="X244" s="136"/>
      <c r="Y244" s="136"/>
      <c r="Z244" s="136"/>
      <c r="AA244" s="231"/>
    </row>
    <row r="245" spans="1:27" x14ac:dyDescent="0.2">
      <c r="A245" s="39"/>
      <c r="B245" s="39"/>
      <c r="C245" s="43"/>
      <c r="D245" s="43"/>
      <c r="E245" s="43"/>
      <c r="F245" s="132"/>
      <c r="G245" s="41" t="e">
        <f>VLOOKUP(F245,Pcode!A:B,2,FALSE)</f>
        <v>#N/A</v>
      </c>
      <c r="H245" s="41"/>
      <c r="I245" s="41" t="e">
        <f>VLOOKUP(H245,Pcode!C:D,2,FALSE)</f>
        <v>#N/A</v>
      </c>
      <c r="J245" s="41"/>
      <c r="K245" s="160"/>
      <c r="L245" s="160"/>
      <c r="M245" s="46"/>
      <c r="N245" s="136"/>
      <c r="O245" s="136"/>
      <c r="P245" s="136"/>
      <c r="Q245" s="136"/>
      <c r="R245" s="136"/>
      <c r="S245" s="136"/>
      <c r="T245" s="136"/>
      <c r="U245" s="136"/>
      <c r="V245" s="136"/>
      <c r="W245" s="136"/>
      <c r="X245" s="136"/>
      <c r="Y245" s="136"/>
      <c r="Z245" s="136"/>
      <c r="AA245" s="231"/>
    </row>
    <row r="246" spans="1:27" x14ac:dyDescent="0.2">
      <c r="A246" s="39"/>
      <c r="B246" s="39"/>
      <c r="C246" s="43"/>
      <c r="D246" s="43"/>
      <c r="E246" s="43"/>
      <c r="F246" s="132"/>
      <c r="G246" s="41" t="e">
        <f>VLOOKUP(F246,Pcode!A:B,2,FALSE)</f>
        <v>#N/A</v>
      </c>
      <c r="H246" s="41"/>
      <c r="I246" s="41" t="e">
        <f>VLOOKUP(H246,Pcode!C:D,2,FALSE)</f>
        <v>#N/A</v>
      </c>
      <c r="J246" s="41"/>
      <c r="K246" s="160"/>
      <c r="L246" s="160"/>
      <c r="M246" s="46"/>
      <c r="N246" s="136"/>
      <c r="O246" s="136"/>
      <c r="P246" s="136"/>
      <c r="Q246" s="136"/>
      <c r="R246" s="136"/>
      <c r="S246" s="136"/>
      <c r="T246" s="136"/>
      <c r="U246" s="136"/>
      <c r="V246" s="136"/>
      <c r="W246" s="136"/>
      <c r="X246" s="136"/>
      <c r="Y246" s="136"/>
      <c r="Z246" s="136"/>
      <c r="AA246" s="231"/>
    </row>
    <row r="247" spans="1:27" x14ac:dyDescent="0.2">
      <c r="A247" s="39"/>
      <c r="B247" s="39"/>
      <c r="C247" s="43"/>
      <c r="D247" s="43"/>
      <c r="E247" s="43"/>
      <c r="F247" s="132"/>
      <c r="G247" s="41" t="e">
        <f>VLOOKUP(F247,Pcode!A:B,2,FALSE)</f>
        <v>#N/A</v>
      </c>
      <c r="H247" s="41"/>
      <c r="I247" s="41" t="e">
        <f>VLOOKUP(H247,Pcode!C:D,2,FALSE)</f>
        <v>#N/A</v>
      </c>
      <c r="J247" s="41"/>
      <c r="K247" s="160"/>
      <c r="L247" s="160"/>
      <c r="M247" s="46"/>
      <c r="N247" s="136"/>
      <c r="O247" s="136"/>
      <c r="P247" s="136"/>
      <c r="Q247" s="136"/>
      <c r="R247" s="136"/>
      <c r="S247" s="136"/>
      <c r="T247" s="136"/>
      <c r="U247" s="136"/>
      <c r="V247" s="136"/>
      <c r="W247" s="136"/>
      <c r="X247" s="136"/>
      <c r="Y247" s="136"/>
      <c r="Z247" s="136"/>
      <c r="AA247" s="231"/>
    </row>
    <row r="248" spans="1:27" x14ac:dyDescent="0.2">
      <c r="A248" s="39"/>
      <c r="B248" s="39"/>
      <c r="C248" s="43"/>
      <c r="D248" s="43"/>
      <c r="E248" s="43"/>
      <c r="F248" s="132"/>
      <c r="G248" s="41" t="e">
        <f>VLOOKUP(F248,Pcode!A:B,2,FALSE)</f>
        <v>#N/A</v>
      </c>
      <c r="H248" s="41"/>
      <c r="I248" s="41" t="e">
        <f>VLOOKUP(H248,Pcode!C:D,2,FALSE)</f>
        <v>#N/A</v>
      </c>
      <c r="J248" s="41"/>
      <c r="K248" s="160"/>
      <c r="L248" s="160"/>
      <c r="M248" s="46"/>
      <c r="N248" s="136"/>
      <c r="O248" s="136"/>
      <c r="P248" s="136"/>
      <c r="Q248" s="136"/>
      <c r="R248" s="136"/>
      <c r="S248" s="136"/>
      <c r="T248" s="136"/>
      <c r="U248" s="136"/>
      <c r="V248" s="136"/>
      <c r="W248" s="136"/>
      <c r="X248" s="136"/>
      <c r="Y248" s="136"/>
      <c r="Z248" s="136"/>
      <c r="AA248" s="231"/>
    </row>
    <row r="249" spans="1:27" x14ac:dyDescent="0.2">
      <c r="A249" s="39"/>
      <c r="B249" s="39"/>
      <c r="C249" s="43"/>
      <c r="D249" s="43"/>
      <c r="E249" s="43"/>
      <c r="F249" s="132"/>
      <c r="G249" s="41" t="e">
        <f>VLOOKUP(F249,Pcode!A:B,2,FALSE)</f>
        <v>#N/A</v>
      </c>
      <c r="H249" s="41"/>
      <c r="I249" s="41" t="e">
        <f>VLOOKUP(H249,Pcode!C:D,2,FALSE)</f>
        <v>#N/A</v>
      </c>
      <c r="J249" s="41"/>
      <c r="K249" s="160"/>
      <c r="L249" s="160"/>
      <c r="M249" s="46"/>
      <c r="N249" s="136"/>
      <c r="O249" s="136"/>
      <c r="P249" s="136"/>
      <c r="Q249" s="136"/>
      <c r="R249" s="136"/>
      <c r="S249" s="136"/>
      <c r="T249" s="136"/>
      <c r="U249" s="136"/>
      <c r="V249" s="136"/>
      <c r="W249" s="136"/>
      <c r="X249" s="136"/>
      <c r="Y249" s="136"/>
      <c r="Z249" s="136"/>
      <c r="AA249" s="231"/>
    </row>
    <row r="250" spans="1:27" x14ac:dyDescent="0.2">
      <c r="A250" s="39"/>
      <c r="B250" s="39"/>
      <c r="C250" s="43"/>
      <c r="D250" s="43"/>
      <c r="E250" s="43"/>
      <c r="F250" s="132"/>
      <c r="G250" s="41" t="e">
        <f>VLOOKUP(F250,Pcode!A:B,2,FALSE)</f>
        <v>#N/A</v>
      </c>
      <c r="H250" s="41"/>
      <c r="I250" s="41" t="e">
        <f>VLOOKUP(H250,Pcode!C:D,2,FALSE)</f>
        <v>#N/A</v>
      </c>
      <c r="J250" s="41"/>
      <c r="K250" s="160"/>
      <c r="L250" s="160"/>
      <c r="M250" s="46"/>
      <c r="N250" s="136"/>
      <c r="O250" s="136"/>
      <c r="P250" s="136"/>
      <c r="Q250" s="136"/>
      <c r="R250" s="136"/>
      <c r="S250" s="136"/>
      <c r="T250" s="136"/>
      <c r="U250" s="136"/>
      <c r="V250" s="136"/>
      <c r="W250" s="136"/>
      <c r="X250" s="136"/>
      <c r="Y250" s="136"/>
      <c r="Z250" s="136"/>
      <c r="AA250" s="231"/>
    </row>
    <row r="251" spans="1:27" x14ac:dyDescent="0.2">
      <c r="A251" s="39"/>
      <c r="B251" s="39"/>
      <c r="C251" s="43"/>
      <c r="D251" s="43"/>
      <c r="E251" s="43"/>
      <c r="F251" s="132"/>
      <c r="G251" s="41" t="e">
        <f>VLOOKUP(F251,Pcode!A:B,2,FALSE)</f>
        <v>#N/A</v>
      </c>
      <c r="H251" s="41"/>
      <c r="I251" s="41" t="e">
        <f>VLOOKUP(H251,Pcode!C:D,2,FALSE)</f>
        <v>#N/A</v>
      </c>
      <c r="J251" s="41"/>
      <c r="K251" s="160"/>
      <c r="L251" s="160"/>
      <c r="M251" s="46"/>
      <c r="N251" s="136"/>
      <c r="O251" s="136"/>
      <c r="P251" s="136"/>
      <c r="Q251" s="136"/>
      <c r="R251" s="136"/>
      <c r="S251" s="136"/>
      <c r="T251" s="136"/>
      <c r="U251" s="136"/>
      <c r="V251" s="136"/>
      <c r="W251" s="136"/>
      <c r="X251" s="136"/>
      <c r="Y251" s="136"/>
      <c r="Z251" s="136"/>
      <c r="AA251" s="231"/>
    </row>
    <row r="252" spans="1:27" x14ac:dyDescent="0.2">
      <c r="A252" s="39"/>
      <c r="B252" s="39"/>
      <c r="C252" s="43"/>
      <c r="D252" s="43"/>
      <c r="E252" s="43"/>
      <c r="F252" s="132"/>
      <c r="G252" s="41" t="e">
        <f>VLOOKUP(F252,Pcode!A:B,2,FALSE)</f>
        <v>#N/A</v>
      </c>
      <c r="H252" s="41"/>
      <c r="I252" s="41" t="e">
        <f>VLOOKUP(H252,Pcode!C:D,2,FALSE)</f>
        <v>#N/A</v>
      </c>
      <c r="J252" s="41"/>
      <c r="K252" s="160"/>
      <c r="L252" s="160"/>
      <c r="M252" s="46"/>
      <c r="N252" s="136"/>
      <c r="O252" s="136"/>
      <c r="P252" s="136"/>
      <c r="Q252" s="136"/>
      <c r="R252" s="136"/>
      <c r="S252" s="136"/>
      <c r="T252" s="136"/>
      <c r="U252" s="136"/>
      <c r="V252" s="136"/>
      <c r="W252" s="136"/>
      <c r="X252" s="136"/>
      <c r="Y252" s="136"/>
      <c r="Z252" s="136"/>
      <c r="AA252" s="231"/>
    </row>
    <row r="253" spans="1:27" x14ac:dyDescent="0.2">
      <c r="A253" s="39"/>
      <c r="B253" s="39"/>
      <c r="C253" s="43"/>
      <c r="D253" s="43"/>
      <c r="E253" s="43"/>
      <c r="F253" s="132"/>
      <c r="G253" s="41" t="e">
        <f>VLOOKUP(F253,Pcode!A:B,2,FALSE)</f>
        <v>#N/A</v>
      </c>
      <c r="H253" s="41"/>
      <c r="I253" s="41" t="e">
        <f>VLOOKUP(H253,Pcode!C:D,2,FALSE)</f>
        <v>#N/A</v>
      </c>
      <c r="J253" s="41"/>
      <c r="K253" s="160"/>
      <c r="L253" s="160"/>
      <c r="M253" s="46"/>
      <c r="N253" s="136"/>
      <c r="O253" s="136"/>
      <c r="P253" s="136"/>
      <c r="Q253" s="136"/>
      <c r="R253" s="136"/>
      <c r="S253" s="136"/>
      <c r="T253" s="136"/>
      <c r="U253" s="136"/>
      <c r="V253" s="136"/>
      <c r="W253" s="136"/>
      <c r="X253" s="136"/>
      <c r="Y253" s="136"/>
      <c r="Z253" s="136"/>
      <c r="AA253" s="231"/>
    </row>
    <row r="254" spans="1:27" x14ac:dyDescent="0.2">
      <c r="A254" s="39"/>
      <c r="B254" s="39"/>
      <c r="C254" s="43"/>
      <c r="D254" s="43"/>
      <c r="E254" s="43"/>
      <c r="F254" s="132"/>
      <c r="G254" s="41" t="e">
        <f>VLOOKUP(F254,Pcode!A:B,2,FALSE)</f>
        <v>#N/A</v>
      </c>
      <c r="H254" s="41"/>
      <c r="I254" s="41" t="e">
        <f>VLOOKUP(H254,Pcode!C:D,2,FALSE)</f>
        <v>#N/A</v>
      </c>
      <c r="J254" s="41"/>
      <c r="K254" s="160"/>
      <c r="L254" s="160"/>
      <c r="M254" s="46"/>
      <c r="N254" s="136"/>
      <c r="O254" s="136"/>
      <c r="P254" s="136"/>
      <c r="Q254" s="136"/>
      <c r="R254" s="136"/>
      <c r="S254" s="136"/>
      <c r="T254" s="136"/>
      <c r="U254" s="136"/>
      <c r="V254" s="136"/>
      <c r="W254" s="136"/>
      <c r="X254" s="136"/>
      <c r="Y254" s="136"/>
      <c r="Z254" s="136"/>
      <c r="AA254" s="231"/>
    </row>
    <row r="255" spans="1:27" x14ac:dyDescent="0.2">
      <c r="A255" s="39"/>
      <c r="B255" s="39"/>
      <c r="C255" s="43"/>
      <c r="D255" s="43"/>
      <c r="E255" s="43"/>
      <c r="F255" s="132"/>
      <c r="G255" s="41" t="e">
        <f>VLOOKUP(F255,Pcode!A:B,2,FALSE)</f>
        <v>#N/A</v>
      </c>
      <c r="H255" s="41"/>
      <c r="I255" s="41" t="e">
        <f>VLOOKUP(H255,Pcode!C:D,2,FALSE)</f>
        <v>#N/A</v>
      </c>
      <c r="J255" s="41"/>
      <c r="K255" s="160"/>
      <c r="L255" s="160"/>
      <c r="M255" s="46"/>
      <c r="N255" s="136"/>
      <c r="O255" s="136"/>
      <c r="P255" s="136"/>
      <c r="Q255" s="136"/>
      <c r="R255" s="136"/>
      <c r="S255" s="136"/>
      <c r="T255" s="136"/>
      <c r="U255" s="136"/>
      <c r="V255" s="136"/>
      <c r="W255" s="136"/>
      <c r="X255" s="136"/>
      <c r="Y255" s="136"/>
      <c r="Z255" s="136"/>
      <c r="AA255" s="231"/>
    </row>
    <row r="256" spans="1:27" x14ac:dyDescent="0.2">
      <c r="A256" s="39"/>
      <c r="B256" s="39"/>
      <c r="C256" s="43"/>
      <c r="D256" s="43"/>
      <c r="E256" s="43"/>
      <c r="F256" s="132"/>
      <c r="G256" s="41" t="e">
        <f>VLOOKUP(F256,Pcode!A:B,2,FALSE)</f>
        <v>#N/A</v>
      </c>
      <c r="H256" s="41"/>
      <c r="I256" s="41" t="e">
        <f>VLOOKUP(H256,Pcode!C:D,2,FALSE)</f>
        <v>#N/A</v>
      </c>
      <c r="J256" s="41"/>
      <c r="K256" s="160"/>
      <c r="L256" s="160"/>
      <c r="M256" s="46"/>
      <c r="N256" s="136"/>
      <c r="O256" s="136"/>
      <c r="P256" s="136"/>
      <c r="Q256" s="136"/>
      <c r="R256" s="136"/>
      <c r="S256" s="136"/>
      <c r="T256" s="136"/>
      <c r="U256" s="136"/>
      <c r="V256" s="136"/>
      <c r="W256" s="136"/>
      <c r="X256" s="136"/>
      <c r="Y256" s="136"/>
      <c r="Z256" s="136"/>
      <c r="AA256" s="231"/>
    </row>
    <row r="257" spans="1:27" x14ac:dyDescent="0.2">
      <c r="A257" s="39"/>
      <c r="B257" s="39"/>
      <c r="C257" s="43"/>
      <c r="D257" s="43"/>
      <c r="E257" s="43"/>
      <c r="F257" s="132"/>
      <c r="G257" s="41" t="e">
        <f>VLOOKUP(F257,Pcode!A:B,2,FALSE)</f>
        <v>#N/A</v>
      </c>
      <c r="H257" s="41"/>
      <c r="I257" s="41" t="e">
        <f>VLOOKUP(H257,Pcode!C:D,2,FALSE)</f>
        <v>#N/A</v>
      </c>
      <c r="J257" s="41"/>
      <c r="K257" s="160"/>
      <c r="L257" s="160"/>
      <c r="M257" s="46"/>
      <c r="N257" s="136"/>
      <c r="O257" s="136"/>
      <c r="P257" s="136"/>
      <c r="Q257" s="136"/>
      <c r="R257" s="136"/>
      <c r="S257" s="136"/>
      <c r="T257" s="136"/>
      <c r="U257" s="136"/>
      <c r="V257" s="136"/>
      <c r="W257" s="136"/>
      <c r="X257" s="136"/>
      <c r="Y257" s="136"/>
      <c r="Z257" s="136"/>
      <c r="AA257" s="231"/>
    </row>
    <row r="258" spans="1:27" x14ac:dyDescent="0.2">
      <c r="A258" s="39"/>
      <c r="B258" s="39"/>
      <c r="C258" s="43"/>
      <c r="D258" s="43"/>
      <c r="E258" s="43"/>
      <c r="F258" s="132"/>
      <c r="G258" s="41" t="e">
        <f>VLOOKUP(F258,Pcode!A:B,2,FALSE)</f>
        <v>#N/A</v>
      </c>
      <c r="H258" s="41"/>
      <c r="I258" s="41" t="e">
        <f>VLOOKUP(H258,Pcode!C:D,2,FALSE)</f>
        <v>#N/A</v>
      </c>
      <c r="J258" s="41"/>
      <c r="K258" s="160"/>
      <c r="L258" s="160"/>
      <c r="M258" s="46"/>
      <c r="N258" s="136"/>
      <c r="O258" s="136"/>
      <c r="P258" s="136"/>
      <c r="Q258" s="136"/>
      <c r="R258" s="136"/>
      <c r="S258" s="136"/>
      <c r="T258" s="136"/>
      <c r="U258" s="136"/>
      <c r="V258" s="136"/>
      <c r="W258" s="136"/>
      <c r="X258" s="136"/>
      <c r="Y258" s="136"/>
      <c r="Z258" s="136"/>
      <c r="AA258" s="231"/>
    </row>
    <row r="259" spans="1:27" x14ac:dyDescent="0.2">
      <c r="A259" s="39"/>
      <c r="B259" s="39"/>
      <c r="C259" s="43"/>
      <c r="D259" s="43"/>
      <c r="E259" s="43"/>
      <c r="F259" s="132"/>
      <c r="G259" s="41" t="e">
        <f>VLOOKUP(F259,Pcode!A:B,2,FALSE)</f>
        <v>#N/A</v>
      </c>
      <c r="H259" s="41"/>
      <c r="I259" s="41" t="e">
        <f>VLOOKUP(H259,Pcode!C:D,2,FALSE)</f>
        <v>#N/A</v>
      </c>
      <c r="J259" s="41"/>
      <c r="K259" s="160"/>
      <c r="L259" s="160"/>
      <c r="M259" s="46"/>
      <c r="N259" s="136"/>
      <c r="O259" s="136"/>
      <c r="P259" s="136"/>
      <c r="Q259" s="136"/>
      <c r="R259" s="136"/>
      <c r="S259" s="136"/>
      <c r="T259" s="136"/>
      <c r="U259" s="136"/>
      <c r="V259" s="136"/>
      <c r="W259" s="136"/>
      <c r="X259" s="136"/>
      <c r="Y259" s="136"/>
      <c r="Z259" s="136"/>
      <c r="AA259" s="231"/>
    </row>
    <row r="260" spans="1:27" x14ac:dyDescent="0.2">
      <c r="A260" s="39"/>
      <c r="B260" s="39"/>
      <c r="C260" s="43"/>
      <c r="D260" s="43"/>
      <c r="E260" s="43"/>
      <c r="F260" s="132"/>
      <c r="G260" s="41" t="e">
        <f>VLOOKUP(F260,Pcode!A:B,2,FALSE)</f>
        <v>#N/A</v>
      </c>
      <c r="H260" s="41"/>
      <c r="I260" s="41" t="e">
        <f>VLOOKUP(H260,Pcode!C:D,2,FALSE)</f>
        <v>#N/A</v>
      </c>
      <c r="J260" s="41"/>
      <c r="K260" s="160"/>
      <c r="L260" s="160"/>
      <c r="M260" s="46"/>
      <c r="N260" s="136"/>
      <c r="O260" s="136"/>
      <c r="P260" s="136"/>
      <c r="Q260" s="136"/>
      <c r="R260" s="136"/>
      <c r="S260" s="136"/>
      <c r="T260" s="136"/>
      <c r="U260" s="136"/>
      <c r="V260" s="136"/>
      <c r="W260" s="136"/>
      <c r="X260" s="136"/>
      <c r="Y260" s="136"/>
      <c r="Z260" s="136"/>
      <c r="AA260" s="231"/>
    </row>
    <row r="261" spans="1:27" x14ac:dyDescent="0.2">
      <c r="A261" s="39"/>
      <c r="B261" s="39"/>
      <c r="C261" s="43"/>
      <c r="D261" s="43"/>
      <c r="E261" s="43"/>
      <c r="F261" s="132"/>
      <c r="G261" s="41" t="e">
        <f>VLOOKUP(F261,Pcode!A:B,2,FALSE)</f>
        <v>#N/A</v>
      </c>
      <c r="H261" s="41"/>
      <c r="I261" s="41" t="e">
        <f>VLOOKUP(H261,Pcode!C:D,2,FALSE)</f>
        <v>#N/A</v>
      </c>
      <c r="J261" s="41"/>
      <c r="K261" s="160"/>
      <c r="L261" s="160"/>
      <c r="M261" s="46"/>
      <c r="N261" s="136"/>
      <c r="O261" s="136"/>
      <c r="P261" s="136"/>
      <c r="Q261" s="136"/>
      <c r="R261" s="136"/>
      <c r="S261" s="136"/>
      <c r="T261" s="136"/>
      <c r="U261" s="136"/>
      <c r="V261" s="136"/>
      <c r="W261" s="136"/>
      <c r="X261" s="136"/>
      <c r="Y261" s="136"/>
      <c r="Z261" s="136"/>
      <c r="AA261" s="231"/>
    </row>
    <row r="262" spans="1:27" x14ac:dyDescent="0.2">
      <c r="A262" s="39"/>
      <c r="B262" s="39"/>
      <c r="C262" s="43"/>
      <c r="D262" s="43"/>
      <c r="E262" s="43"/>
      <c r="F262" s="132"/>
      <c r="G262" s="41" t="e">
        <f>VLOOKUP(F262,Pcode!A:B,2,FALSE)</f>
        <v>#N/A</v>
      </c>
      <c r="H262" s="41"/>
      <c r="I262" s="41" t="e">
        <f>VLOOKUP(H262,Pcode!C:D,2,FALSE)</f>
        <v>#N/A</v>
      </c>
      <c r="J262" s="41"/>
      <c r="K262" s="160"/>
      <c r="L262" s="160"/>
      <c r="M262" s="46"/>
      <c r="N262" s="136"/>
      <c r="O262" s="136"/>
      <c r="P262" s="136"/>
      <c r="Q262" s="136"/>
      <c r="R262" s="136"/>
      <c r="S262" s="136"/>
      <c r="T262" s="136"/>
      <c r="U262" s="136"/>
      <c r="V262" s="136"/>
      <c r="W262" s="136"/>
      <c r="X262" s="136"/>
      <c r="Y262" s="136"/>
      <c r="Z262" s="136"/>
      <c r="AA262" s="231"/>
    </row>
    <row r="263" spans="1:27" x14ac:dyDescent="0.2">
      <c r="A263" s="39"/>
      <c r="B263" s="39"/>
      <c r="C263" s="43"/>
      <c r="D263" s="43"/>
      <c r="E263" s="43"/>
      <c r="F263" s="132"/>
      <c r="G263" s="41" t="e">
        <f>VLOOKUP(F263,Pcode!A:B,2,FALSE)</f>
        <v>#N/A</v>
      </c>
      <c r="H263" s="41"/>
      <c r="I263" s="41" t="e">
        <f>VLOOKUP(H263,Pcode!C:D,2,FALSE)</f>
        <v>#N/A</v>
      </c>
      <c r="J263" s="41"/>
      <c r="K263" s="160"/>
      <c r="L263" s="160"/>
      <c r="M263" s="46"/>
      <c r="N263" s="136"/>
      <c r="O263" s="136"/>
      <c r="P263" s="136"/>
      <c r="Q263" s="136"/>
      <c r="R263" s="136"/>
      <c r="S263" s="136"/>
      <c r="T263" s="136"/>
      <c r="U263" s="136"/>
      <c r="V263" s="136"/>
      <c r="W263" s="136"/>
      <c r="X263" s="136"/>
      <c r="Y263" s="136"/>
      <c r="Z263" s="136"/>
      <c r="AA263" s="231"/>
    </row>
    <row r="264" spans="1:27" x14ac:dyDescent="0.2">
      <c r="A264" s="39"/>
      <c r="B264" s="39"/>
      <c r="C264" s="43"/>
      <c r="D264" s="43"/>
      <c r="E264" s="43"/>
      <c r="F264" s="132"/>
      <c r="G264" s="41" t="e">
        <f>VLOOKUP(F264,Pcode!A:B,2,FALSE)</f>
        <v>#N/A</v>
      </c>
      <c r="H264" s="41"/>
      <c r="I264" s="41" t="e">
        <f>VLOOKUP(H264,Pcode!C:D,2,FALSE)</f>
        <v>#N/A</v>
      </c>
      <c r="J264" s="41"/>
      <c r="K264" s="160"/>
      <c r="L264" s="160"/>
      <c r="M264" s="46"/>
      <c r="N264" s="136"/>
      <c r="O264" s="136"/>
      <c r="P264" s="136"/>
      <c r="Q264" s="136"/>
      <c r="R264" s="136"/>
      <c r="S264" s="136"/>
      <c r="T264" s="136"/>
      <c r="U264" s="136"/>
      <c r="V264" s="136"/>
      <c r="W264" s="136"/>
      <c r="X264" s="136"/>
      <c r="Y264" s="136"/>
      <c r="Z264" s="136"/>
      <c r="AA264" s="231"/>
    </row>
    <row r="265" spans="1:27" x14ac:dyDescent="0.2">
      <c r="A265" s="39"/>
      <c r="B265" s="39"/>
      <c r="C265" s="43"/>
      <c r="D265" s="43"/>
      <c r="E265" s="43"/>
      <c r="F265" s="132"/>
      <c r="G265" s="41" t="e">
        <f>VLOOKUP(F265,Pcode!A:B,2,FALSE)</f>
        <v>#N/A</v>
      </c>
      <c r="H265" s="41"/>
      <c r="I265" s="41" t="e">
        <f>VLOOKUP(H265,Pcode!C:D,2,FALSE)</f>
        <v>#N/A</v>
      </c>
      <c r="J265" s="41"/>
      <c r="K265" s="160"/>
      <c r="L265" s="160"/>
      <c r="M265" s="46"/>
      <c r="N265" s="136"/>
      <c r="O265" s="136"/>
      <c r="P265" s="136"/>
      <c r="Q265" s="136"/>
      <c r="R265" s="136"/>
      <c r="S265" s="136"/>
      <c r="T265" s="136"/>
      <c r="U265" s="136"/>
      <c r="V265" s="136"/>
      <c r="W265" s="136"/>
      <c r="X265" s="136"/>
      <c r="Y265" s="136"/>
      <c r="Z265" s="136"/>
      <c r="AA265" s="231"/>
    </row>
    <row r="266" spans="1:27" x14ac:dyDescent="0.2">
      <c r="A266" s="39"/>
      <c r="B266" s="39"/>
      <c r="C266" s="43"/>
      <c r="D266" s="43"/>
      <c r="E266" s="43"/>
      <c r="F266" s="132"/>
      <c r="G266" s="41" t="e">
        <f>VLOOKUP(F266,Pcode!A:B,2,FALSE)</f>
        <v>#N/A</v>
      </c>
      <c r="H266" s="41"/>
      <c r="I266" s="41" t="e">
        <f>VLOOKUP(H266,Pcode!C:D,2,FALSE)</f>
        <v>#N/A</v>
      </c>
      <c r="J266" s="41"/>
      <c r="K266" s="160"/>
      <c r="L266" s="160"/>
      <c r="M266" s="46"/>
      <c r="N266" s="136"/>
      <c r="O266" s="136"/>
      <c r="P266" s="136"/>
      <c r="Q266" s="136"/>
      <c r="R266" s="136"/>
      <c r="S266" s="136"/>
      <c r="T266" s="136"/>
      <c r="U266" s="136"/>
      <c r="V266" s="136"/>
      <c r="W266" s="136"/>
      <c r="X266" s="136"/>
      <c r="Y266" s="136"/>
      <c r="Z266" s="136"/>
      <c r="AA266" s="231"/>
    </row>
    <row r="267" spans="1:27" x14ac:dyDescent="0.2">
      <c r="A267" s="39"/>
      <c r="B267" s="39"/>
      <c r="C267" s="43"/>
      <c r="D267" s="43"/>
      <c r="E267" s="43"/>
      <c r="F267" s="132"/>
      <c r="G267" s="41" t="e">
        <f>VLOOKUP(F267,Pcode!A:B,2,FALSE)</f>
        <v>#N/A</v>
      </c>
      <c r="H267" s="41"/>
      <c r="I267" s="41" t="e">
        <f>VLOOKUP(H267,Pcode!C:D,2,FALSE)</f>
        <v>#N/A</v>
      </c>
      <c r="J267" s="41"/>
      <c r="K267" s="160"/>
      <c r="L267" s="160"/>
      <c r="M267" s="46"/>
      <c r="N267" s="136"/>
      <c r="O267" s="136"/>
      <c r="P267" s="136"/>
      <c r="Q267" s="136"/>
      <c r="R267" s="136"/>
      <c r="S267" s="136"/>
      <c r="T267" s="136"/>
      <c r="U267" s="136"/>
      <c r="V267" s="136"/>
      <c r="W267" s="136"/>
      <c r="X267" s="136"/>
      <c r="Y267" s="136"/>
      <c r="Z267" s="136"/>
      <c r="AA267" s="231"/>
    </row>
    <row r="268" spans="1:27" x14ac:dyDescent="0.2">
      <c r="A268" s="39"/>
      <c r="B268" s="39"/>
      <c r="C268" s="43"/>
      <c r="D268" s="43"/>
      <c r="E268" s="43"/>
      <c r="F268" s="132"/>
      <c r="G268" s="41" t="e">
        <f>VLOOKUP(F268,Pcode!A:B,2,FALSE)</f>
        <v>#N/A</v>
      </c>
      <c r="H268" s="41"/>
      <c r="I268" s="41" t="e">
        <f>VLOOKUP(H268,Pcode!C:D,2,FALSE)</f>
        <v>#N/A</v>
      </c>
      <c r="J268" s="41"/>
      <c r="K268" s="160"/>
      <c r="L268" s="160"/>
      <c r="M268" s="46"/>
      <c r="N268" s="136"/>
      <c r="O268" s="136"/>
      <c r="P268" s="136"/>
      <c r="Q268" s="136"/>
      <c r="R268" s="136"/>
      <c r="S268" s="136"/>
      <c r="T268" s="136"/>
      <c r="U268" s="136"/>
      <c r="V268" s="136"/>
      <c r="W268" s="136"/>
      <c r="X268" s="136"/>
      <c r="Y268" s="136"/>
      <c r="Z268" s="136"/>
      <c r="AA268" s="231"/>
    </row>
    <row r="269" spans="1:27" x14ac:dyDescent="0.2">
      <c r="A269" s="39"/>
      <c r="B269" s="39"/>
      <c r="C269" s="43"/>
      <c r="D269" s="43"/>
      <c r="E269" s="43"/>
      <c r="F269" s="132"/>
      <c r="G269" s="41" t="e">
        <f>VLOOKUP(F269,Pcode!A:B,2,FALSE)</f>
        <v>#N/A</v>
      </c>
      <c r="H269" s="41"/>
      <c r="I269" s="41" t="e">
        <f>VLOOKUP(H269,Pcode!C:D,2,FALSE)</f>
        <v>#N/A</v>
      </c>
      <c r="J269" s="41"/>
      <c r="K269" s="160"/>
      <c r="L269" s="160"/>
      <c r="M269" s="46"/>
      <c r="N269" s="136"/>
      <c r="O269" s="136"/>
      <c r="P269" s="136"/>
      <c r="Q269" s="136"/>
      <c r="R269" s="136"/>
      <c r="S269" s="136"/>
      <c r="T269" s="136"/>
      <c r="U269" s="136"/>
      <c r="V269" s="136"/>
      <c r="W269" s="136"/>
      <c r="X269" s="136"/>
      <c r="Y269" s="136"/>
      <c r="Z269" s="136"/>
      <c r="AA269" s="231"/>
    </row>
    <row r="270" spans="1:27" x14ac:dyDescent="0.2">
      <c r="A270" s="39"/>
      <c r="B270" s="39"/>
      <c r="C270" s="43"/>
      <c r="D270" s="43"/>
      <c r="E270" s="43"/>
      <c r="F270" s="132"/>
      <c r="G270" s="41" t="e">
        <f>VLOOKUP(F270,Pcode!A:B,2,FALSE)</f>
        <v>#N/A</v>
      </c>
      <c r="H270" s="41"/>
      <c r="I270" s="41" t="e">
        <f>VLOOKUP(H270,Pcode!C:D,2,FALSE)</f>
        <v>#N/A</v>
      </c>
      <c r="J270" s="41"/>
      <c r="K270" s="160"/>
      <c r="L270" s="160"/>
      <c r="M270" s="46"/>
      <c r="N270" s="136"/>
      <c r="O270" s="136"/>
      <c r="P270" s="136"/>
      <c r="Q270" s="136"/>
      <c r="R270" s="136"/>
      <c r="S270" s="136"/>
      <c r="T270" s="136"/>
      <c r="U270" s="136"/>
      <c r="V270" s="136"/>
      <c r="W270" s="136"/>
      <c r="X270" s="136"/>
      <c r="Y270" s="136"/>
      <c r="Z270" s="136"/>
      <c r="AA270" s="231"/>
    </row>
    <row r="271" spans="1:27" x14ac:dyDescent="0.2">
      <c r="A271" s="39"/>
      <c r="B271" s="39"/>
      <c r="C271" s="43"/>
      <c r="D271" s="43"/>
      <c r="E271" s="43"/>
      <c r="F271" s="132"/>
      <c r="G271" s="41" t="e">
        <f>VLOOKUP(F271,Pcode!A:B,2,FALSE)</f>
        <v>#N/A</v>
      </c>
      <c r="H271" s="41"/>
      <c r="I271" s="41" t="e">
        <f>VLOOKUP(H271,Pcode!C:D,2,FALSE)</f>
        <v>#N/A</v>
      </c>
      <c r="J271" s="41"/>
      <c r="K271" s="160"/>
      <c r="L271" s="160"/>
      <c r="M271" s="46"/>
      <c r="N271" s="136"/>
      <c r="O271" s="136"/>
      <c r="P271" s="136"/>
      <c r="Q271" s="136"/>
      <c r="R271" s="136"/>
      <c r="S271" s="136"/>
      <c r="T271" s="136"/>
      <c r="U271" s="136"/>
      <c r="V271" s="136"/>
      <c r="W271" s="136"/>
      <c r="X271" s="136"/>
      <c r="Y271" s="136"/>
      <c r="Z271" s="136"/>
      <c r="AA271" s="231"/>
    </row>
    <row r="272" spans="1:27" x14ac:dyDescent="0.2">
      <c r="A272" s="39"/>
      <c r="B272" s="39"/>
      <c r="C272" s="43"/>
      <c r="D272" s="43"/>
      <c r="E272" s="43"/>
      <c r="F272" s="132"/>
      <c r="G272" s="41" t="e">
        <f>VLOOKUP(F272,Pcode!A:B,2,FALSE)</f>
        <v>#N/A</v>
      </c>
      <c r="H272" s="41"/>
      <c r="I272" s="41" t="e">
        <f>VLOOKUP(H272,Pcode!C:D,2,FALSE)</f>
        <v>#N/A</v>
      </c>
      <c r="J272" s="41"/>
      <c r="K272" s="160"/>
      <c r="L272" s="160"/>
      <c r="M272" s="46"/>
      <c r="N272" s="136"/>
      <c r="O272" s="136"/>
      <c r="P272" s="136"/>
      <c r="Q272" s="136"/>
      <c r="R272" s="136"/>
      <c r="S272" s="136"/>
      <c r="T272" s="136"/>
      <c r="U272" s="136"/>
      <c r="V272" s="136"/>
      <c r="W272" s="136"/>
      <c r="X272" s="136"/>
      <c r="Y272" s="136"/>
      <c r="Z272" s="136"/>
      <c r="AA272" s="231"/>
    </row>
    <row r="273" spans="1:27" x14ac:dyDescent="0.2">
      <c r="A273" s="39"/>
      <c r="B273" s="39"/>
      <c r="C273" s="43"/>
      <c r="D273" s="43"/>
      <c r="E273" s="43"/>
      <c r="F273" s="132"/>
      <c r="G273" s="41" t="e">
        <f>VLOOKUP(F273,Pcode!A:B,2,FALSE)</f>
        <v>#N/A</v>
      </c>
      <c r="H273" s="41"/>
      <c r="I273" s="41" t="e">
        <f>VLOOKUP(H273,Pcode!C:D,2,FALSE)</f>
        <v>#N/A</v>
      </c>
      <c r="J273" s="41"/>
      <c r="K273" s="160"/>
      <c r="L273" s="160"/>
      <c r="M273" s="46"/>
      <c r="N273" s="136"/>
      <c r="O273" s="136"/>
      <c r="P273" s="136"/>
      <c r="Q273" s="136"/>
      <c r="R273" s="136"/>
      <c r="S273" s="136"/>
      <c r="T273" s="136"/>
      <c r="U273" s="136"/>
      <c r="V273" s="136"/>
      <c r="W273" s="136"/>
      <c r="X273" s="136"/>
      <c r="Y273" s="136"/>
      <c r="Z273" s="136"/>
      <c r="AA273" s="231"/>
    </row>
    <row r="274" spans="1:27" x14ac:dyDescent="0.2">
      <c r="A274" s="39"/>
      <c r="B274" s="39"/>
      <c r="C274" s="43"/>
      <c r="D274" s="43"/>
      <c r="E274" s="43"/>
      <c r="F274" s="132"/>
      <c r="G274" s="41" t="e">
        <f>VLOOKUP(F274,Pcode!A:B,2,FALSE)</f>
        <v>#N/A</v>
      </c>
      <c r="H274" s="41"/>
      <c r="I274" s="41" t="e">
        <f>VLOOKUP(H274,Pcode!C:D,2,FALSE)</f>
        <v>#N/A</v>
      </c>
      <c r="J274" s="41"/>
      <c r="K274" s="160"/>
      <c r="L274" s="160"/>
      <c r="M274" s="46"/>
      <c r="N274" s="136"/>
      <c r="O274" s="136"/>
      <c r="P274" s="136"/>
      <c r="Q274" s="136"/>
      <c r="R274" s="136"/>
      <c r="S274" s="136"/>
      <c r="T274" s="136"/>
      <c r="U274" s="136"/>
      <c r="V274" s="136"/>
      <c r="W274" s="136"/>
      <c r="X274" s="136"/>
      <c r="Y274" s="136"/>
      <c r="Z274" s="136"/>
      <c r="AA274" s="231"/>
    </row>
    <row r="275" spans="1:27" x14ac:dyDescent="0.2">
      <c r="A275" s="39"/>
      <c r="B275" s="39"/>
      <c r="C275" s="43"/>
      <c r="D275" s="43"/>
      <c r="E275" s="43"/>
      <c r="F275" s="132"/>
      <c r="G275" s="41" t="e">
        <f>VLOOKUP(F275,Pcode!A:B,2,FALSE)</f>
        <v>#N/A</v>
      </c>
      <c r="H275" s="41"/>
      <c r="I275" s="41" t="e">
        <f>VLOOKUP(H275,Pcode!C:D,2,FALSE)</f>
        <v>#N/A</v>
      </c>
      <c r="J275" s="41"/>
      <c r="K275" s="160"/>
      <c r="L275" s="160"/>
      <c r="M275" s="46"/>
      <c r="N275" s="136"/>
      <c r="O275" s="136"/>
      <c r="P275" s="136"/>
      <c r="Q275" s="136"/>
      <c r="R275" s="136"/>
      <c r="S275" s="136"/>
      <c r="T275" s="136"/>
      <c r="U275" s="136"/>
      <c r="V275" s="136"/>
      <c r="W275" s="136"/>
      <c r="X275" s="136"/>
      <c r="Y275" s="136"/>
      <c r="Z275" s="136"/>
      <c r="AA275" s="231"/>
    </row>
    <row r="276" spans="1:27" x14ac:dyDescent="0.2">
      <c r="A276" s="39"/>
      <c r="B276" s="39"/>
      <c r="C276" s="43"/>
      <c r="D276" s="43"/>
      <c r="E276" s="43"/>
      <c r="F276" s="132"/>
      <c r="G276" s="41" t="e">
        <f>VLOOKUP(F276,Pcode!A:B,2,FALSE)</f>
        <v>#N/A</v>
      </c>
      <c r="H276" s="41"/>
      <c r="I276" s="41" t="e">
        <f>VLOOKUP(H276,Pcode!C:D,2,FALSE)</f>
        <v>#N/A</v>
      </c>
      <c r="J276" s="41"/>
      <c r="K276" s="160"/>
      <c r="L276" s="160"/>
      <c r="M276" s="46"/>
      <c r="N276" s="136"/>
      <c r="O276" s="136"/>
      <c r="P276" s="136"/>
      <c r="Q276" s="136"/>
      <c r="R276" s="136"/>
      <c r="S276" s="136"/>
      <c r="T276" s="136"/>
      <c r="U276" s="136"/>
      <c r="V276" s="136"/>
      <c r="W276" s="136"/>
      <c r="X276" s="136"/>
      <c r="Y276" s="136"/>
      <c r="Z276" s="136"/>
      <c r="AA276" s="231"/>
    </row>
    <row r="277" spans="1:27" x14ac:dyDescent="0.2">
      <c r="A277" s="39"/>
      <c r="B277" s="39"/>
      <c r="C277" s="43"/>
      <c r="D277" s="43"/>
      <c r="E277" s="43"/>
      <c r="F277" s="132"/>
      <c r="G277" s="41" t="e">
        <f>VLOOKUP(F277,Pcode!A:B,2,FALSE)</f>
        <v>#N/A</v>
      </c>
      <c r="H277" s="41"/>
      <c r="I277" s="41" t="e">
        <f>VLOOKUP(H277,Pcode!C:D,2,FALSE)</f>
        <v>#N/A</v>
      </c>
      <c r="J277" s="41"/>
      <c r="K277" s="160"/>
      <c r="L277" s="160"/>
      <c r="M277" s="46"/>
      <c r="N277" s="136"/>
      <c r="O277" s="136"/>
      <c r="P277" s="136"/>
      <c r="Q277" s="136"/>
      <c r="R277" s="136"/>
      <c r="S277" s="136"/>
      <c r="T277" s="136"/>
      <c r="U277" s="136"/>
      <c r="V277" s="136"/>
      <c r="W277" s="136"/>
      <c r="X277" s="136"/>
      <c r="Y277" s="136"/>
      <c r="Z277" s="136"/>
      <c r="AA277" s="231"/>
    </row>
    <row r="278" spans="1:27" x14ac:dyDescent="0.2">
      <c r="A278" s="39"/>
      <c r="B278" s="39"/>
      <c r="C278" s="43"/>
      <c r="D278" s="43"/>
      <c r="E278" s="43"/>
      <c r="F278" s="132"/>
      <c r="G278" s="41" t="e">
        <f>VLOOKUP(F278,Pcode!A:B,2,FALSE)</f>
        <v>#N/A</v>
      </c>
      <c r="H278" s="41"/>
      <c r="I278" s="41" t="e">
        <f>VLOOKUP(H278,Pcode!C:D,2,FALSE)</f>
        <v>#N/A</v>
      </c>
      <c r="J278" s="41"/>
      <c r="K278" s="160"/>
      <c r="L278" s="160"/>
      <c r="M278" s="46"/>
      <c r="N278" s="136"/>
      <c r="O278" s="136"/>
      <c r="P278" s="136"/>
      <c r="Q278" s="136"/>
      <c r="R278" s="136"/>
      <c r="S278" s="136"/>
      <c r="T278" s="136"/>
      <c r="U278" s="136"/>
      <c r="V278" s="136"/>
      <c r="W278" s="136"/>
      <c r="X278" s="136"/>
      <c r="Y278" s="136"/>
      <c r="Z278" s="136"/>
      <c r="AA278" s="231"/>
    </row>
    <row r="279" spans="1:27" x14ac:dyDescent="0.2">
      <c r="A279" s="39"/>
      <c r="B279" s="39"/>
      <c r="C279" s="43"/>
      <c r="D279" s="43"/>
      <c r="E279" s="43"/>
      <c r="F279" s="132"/>
      <c r="G279" s="41" t="e">
        <f>VLOOKUP(F279,Pcode!A:B,2,FALSE)</f>
        <v>#N/A</v>
      </c>
      <c r="H279" s="41"/>
      <c r="I279" s="41" t="e">
        <f>VLOOKUP(H279,Pcode!C:D,2,FALSE)</f>
        <v>#N/A</v>
      </c>
      <c r="J279" s="41"/>
      <c r="K279" s="160"/>
      <c r="L279" s="160"/>
      <c r="M279" s="46"/>
      <c r="N279" s="136"/>
      <c r="O279" s="136"/>
      <c r="P279" s="136"/>
      <c r="Q279" s="136"/>
      <c r="R279" s="136"/>
      <c r="S279" s="136"/>
      <c r="T279" s="136"/>
      <c r="U279" s="136"/>
      <c r="V279" s="136"/>
      <c r="W279" s="136"/>
      <c r="X279" s="136"/>
      <c r="Y279" s="136"/>
      <c r="Z279" s="136"/>
      <c r="AA279" s="231"/>
    </row>
    <row r="280" spans="1:27" x14ac:dyDescent="0.2">
      <c r="A280" s="39"/>
      <c r="B280" s="39"/>
      <c r="C280" s="43"/>
      <c r="D280" s="43"/>
      <c r="E280" s="43"/>
      <c r="F280" s="132"/>
      <c r="G280" s="41" t="e">
        <f>VLOOKUP(F280,Pcode!A:B,2,FALSE)</f>
        <v>#N/A</v>
      </c>
      <c r="H280" s="41"/>
      <c r="I280" s="41" t="e">
        <f>VLOOKUP(H280,Pcode!C:D,2,FALSE)</f>
        <v>#N/A</v>
      </c>
      <c r="J280" s="41"/>
      <c r="K280" s="160"/>
      <c r="L280" s="160"/>
      <c r="M280" s="46"/>
      <c r="N280" s="136"/>
      <c r="O280" s="136"/>
      <c r="P280" s="136"/>
      <c r="Q280" s="136"/>
      <c r="R280" s="136"/>
      <c r="S280" s="136"/>
      <c r="T280" s="136"/>
      <c r="U280" s="136"/>
      <c r="V280" s="136"/>
      <c r="W280" s="136"/>
      <c r="X280" s="136"/>
      <c r="Y280" s="136"/>
      <c r="Z280" s="136"/>
      <c r="AA280" s="231"/>
    </row>
    <row r="281" spans="1:27" x14ac:dyDescent="0.2">
      <c r="A281" s="39"/>
      <c r="B281" s="39"/>
      <c r="C281" s="43"/>
      <c r="D281" s="43"/>
      <c r="E281" s="43"/>
      <c r="F281" s="132"/>
      <c r="G281" s="41" t="e">
        <f>VLOOKUP(F281,Pcode!A:B,2,FALSE)</f>
        <v>#N/A</v>
      </c>
      <c r="H281" s="41"/>
      <c r="I281" s="41" t="e">
        <f>VLOOKUP(H281,Pcode!C:D,2,FALSE)</f>
        <v>#N/A</v>
      </c>
      <c r="J281" s="41"/>
      <c r="K281" s="160"/>
      <c r="L281" s="160"/>
      <c r="M281" s="46"/>
      <c r="N281" s="136"/>
      <c r="O281" s="136"/>
      <c r="P281" s="136"/>
      <c r="Q281" s="136"/>
      <c r="R281" s="136"/>
      <c r="S281" s="136"/>
      <c r="T281" s="136"/>
      <c r="U281" s="136"/>
      <c r="V281" s="136"/>
      <c r="W281" s="136"/>
      <c r="X281" s="136"/>
      <c r="Y281" s="136"/>
      <c r="Z281" s="136"/>
      <c r="AA281" s="231"/>
    </row>
    <row r="282" spans="1:27" x14ac:dyDescent="0.2">
      <c r="A282" s="39"/>
      <c r="B282" s="39"/>
      <c r="C282" s="43"/>
      <c r="D282" s="43"/>
      <c r="E282" s="43"/>
      <c r="F282" s="132"/>
      <c r="G282" s="41" t="e">
        <f>VLOOKUP(F282,Pcode!A:B,2,FALSE)</f>
        <v>#N/A</v>
      </c>
      <c r="H282" s="41"/>
      <c r="I282" s="41" t="e">
        <f>VLOOKUP(H282,Pcode!C:D,2,FALSE)</f>
        <v>#N/A</v>
      </c>
      <c r="J282" s="41"/>
      <c r="K282" s="160"/>
      <c r="L282" s="160"/>
      <c r="M282" s="46"/>
      <c r="N282" s="136"/>
      <c r="O282" s="136"/>
      <c r="P282" s="136"/>
      <c r="Q282" s="136"/>
      <c r="R282" s="136"/>
      <c r="S282" s="136"/>
      <c r="T282" s="136"/>
      <c r="U282" s="136"/>
      <c r="V282" s="136"/>
      <c r="W282" s="136"/>
      <c r="X282" s="136"/>
      <c r="Y282" s="136"/>
      <c r="Z282" s="136"/>
      <c r="AA282" s="231"/>
    </row>
    <row r="283" spans="1:27" x14ac:dyDescent="0.2">
      <c r="A283" s="39"/>
      <c r="B283" s="39"/>
      <c r="C283" s="43"/>
      <c r="D283" s="43"/>
      <c r="E283" s="43"/>
      <c r="F283" s="132"/>
      <c r="G283" s="41" t="e">
        <f>VLOOKUP(F283,Pcode!A:B,2,FALSE)</f>
        <v>#N/A</v>
      </c>
      <c r="H283" s="41"/>
      <c r="I283" s="41" t="e">
        <f>VLOOKUP(H283,Pcode!C:D,2,FALSE)</f>
        <v>#N/A</v>
      </c>
      <c r="J283" s="41"/>
      <c r="K283" s="160"/>
      <c r="L283" s="160"/>
      <c r="M283" s="46"/>
      <c r="N283" s="136"/>
      <c r="O283" s="136"/>
      <c r="P283" s="136"/>
      <c r="Q283" s="136"/>
      <c r="R283" s="136"/>
      <c r="S283" s="136"/>
      <c r="T283" s="136"/>
      <c r="U283" s="136"/>
      <c r="V283" s="136"/>
      <c r="W283" s="136"/>
      <c r="X283" s="136"/>
      <c r="Y283" s="136"/>
      <c r="Z283" s="136"/>
      <c r="AA283" s="231"/>
    </row>
    <row r="284" spans="1:27" x14ac:dyDescent="0.2">
      <c r="A284" s="39"/>
      <c r="B284" s="39"/>
      <c r="C284" s="43"/>
      <c r="D284" s="43"/>
      <c r="E284" s="43"/>
      <c r="F284" s="132"/>
      <c r="G284" s="41" t="e">
        <f>VLOOKUP(F284,Pcode!A:B,2,FALSE)</f>
        <v>#N/A</v>
      </c>
      <c r="H284" s="41"/>
      <c r="I284" s="41" t="e">
        <f>VLOOKUP(H284,Pcode!C:D,2,FALSE)</f>
        <v>#N/A</v>
      </c>
      <c r="J284" s="41"/>
      <c r="K284" s="160"/>
      <c r="L284" s="160"/>
      <c r="M284" s="46"/>
      <c r="N284" s="136"/>
      <c r="O284" s="136"/>
      <c r="P284" s="136"/>
      <c r="Q284" s="136"/>
      <c r="R284" s="136"/>
      <c r="S284" s="136"/>
      <c r="T284" s="136"/>
      <c r="U284" s="136"/>
      <c r="V284" s="136"/>
      <c r="W284" s="136"/>
      <c r="X284" s="136"/>
      <c r="Y284" s="136"/>
      <c r="Z284" s="136"/>
      <c r="AA284" s="231"/>
    </row>
    <row r="285" spans="1:27" x14ac:dyDescent="0.2">
      <c r="A285" s="39"/>
      <c r="B285" s="39"/>
      <c r="C285" s="43"/>
      <c r="D285" s="43"/>
      <c r="E285" s="43"/>
      <c r="F285" s="132"/>
      <c r="G285" s="41" t="e">
        <f>VLOOKUP(F285,Pcode!A:B,2,FALSE)</f>
        <v>#N/A</v>
      </c>
      <c r="H285" s="41"/>
      <c r="I285" s="41" t="e">
        <f>VLOOKUP(H285,Pcode!C:D,2,FALSE)</f>
        <v>#N/A</v>
      </c>
      <c r="J285" s="41"/>
      <c r="K285" s="160"/>
      <c r="L285" s="160"/>
      <c r="M285" s="46"/>
      <c r="N285" s="136"/>
      <c r="O285" s="136"/>
      <c r="P285" s="136"/>
      <c r="Q285" s="136"/>
      <c r="R285" s="136"/>
      <c r="S285" s="136"/>
      <c r="T285" s="136"/>
      <c r="U285" s="136"/>
      <c r="V285" s="136"/>
      <c r="W285" s="136"/>
      <c r="X285" s="136"/>
      <c r="Y285" s="136"/>
      <c r="Z285" s="136"/>
      <c r="AA285" s="231"/>
    </row>
    <row r="286" spans="1:27" x14ac:dyDescent="0.2">
      <c r="A286" s="39"/>
      <c r="B286" s="39"/>
      <c r="C286" s="43"/>
      <c r="D286" s="43"/>
      <c r="E286" s="43"/>
      <c r="F286" s="132"/>
      <c r="G286" s="41" t="e">
        <f>VLOOKUP(F286,Pcode!A:B,2,FALSE)</f>
        <v>#N/A</v>
      </c>
      <c r="H286" s="41"/>
      <c r="I286" s="41" t="e">
        <f>VLOOKUP(H286,Pcode!C:D,2,FALSE)</f>
        <v>#N/A</v>
      </c>
      <c r="J286" s="41"/>
      <c r="K286" s="160"/>
      <c r="L286" s="160"/>
      <c r="M286" s="46"/>
      <c r="N286" s="136"/>
      <c r="O286" s="136"/>
      <c r="P286" s="136"/>
      <c r="Q286" s="136"/>
      <c r="R286" s="136"/>
      <c r="S286" s="136"/>
      <c r="T286" s="136"/>
      <c r="U286" s="136"/>
      <c r="V286" s="136"/>
      <c r="W286" s="136"/>
      <c r="X286" s="136"/>
      <c r="Y286" s="136"/>
      <c r="Z286" s="136"/>
      <c r="AA286" s="231"/>
    </row>
    <row r="287" spans="1:27" x14ac:dyDescent="0.2">
      <c r="A287" s="39"/>
      <c r="B287" s="39"/>
      <c r="C287" s="43"/>
      <c r="D287" s="43"/>
      <c r="E287" s="43"/>
      <c r="F287" s="132"/>
      <c r="G287" s="41" t="e">
        <f>VLOOKUP(F287,Pcode!A:B,2,FALSE)</f>
        <v>#N/A</v>
      </c>
      <c r="H287" s="41"/>
      <c r="I287" s="41" t="e">
        <f>VLOOKUP(H287,Pcode!C:D,2,FALSE)</f>
        <v>#N/A</v>
      </c>
      <c r="J287" s="41"/>
      <c r="K287" s="160"/>
      <c r="L287" s="160"/>
      <c r="M287" s="46"/>
      <c r="N287" s="136"/>
      <c r="O287" s="136"/>
      <c r="P287" s="136"/>
      <c r="Q287" s="136"/>
      <c r="R287" s="136"/>
      <c r="S287" s="136"/>
      <c r="T287" s="136"/>
      <c r="U287" s="136"/>
      <c r="V287" s="136"/>
      <c r="W287" s="136"/>
      <c r="X287" s="136"/>
      <c r="Y287" s="136"/>
      <c r="Z287" s="136"/>
      <c r="AA287" s="231"/>
    </row>
    <row r="288" spans="1:27" x14ac:dyDescent="0.2">
      <c r="A288" s="39"/>
      <c r="B288" s="39"/>
      <c r="C288" s="43"/>
      <c r="D288" s="43"/>
      <c r="E288" s="43"/>
      <c r="F288" s="132"/>
      <c r="G288" s="41" t="e">
        <f>VLOOKUP(F288,Pcode!A:B,2,FALSE)</f>
        <v>#N/A</v>
      </c>
      <c r="H288" s="41"/>
      <c r="I288" s="41" t="e">
        <f>VLOOKUP(H288,Pcode!C:D,2,FALSE)</f>
        <v>#N/A</v>
      </c>
      <c r="J288" s="41"/>
      <c r="K288" s="160"/>
      <c r="L288" s="160"/>
      <c r="M288" s="46"/>
      <c r="N288" s="136"/>
      <c r="O288" s="136"/>
      <c r="P288" s="136"/>
      <c r="Q288" s="136"/>
      <c r="R288" s="136"/>
      <c r="S288" s="136"/>
      <c r="T288" s="136"/>
      <c r="U288" s="136"/>
      <c r="V288" s="136"/>
      <c r="W288" s="136"/>
      <c r="X288" s="136"/>
      <c r="Y288" s="136"/>
      <c r="Z288" s="136"/>
      <c r="AA288" s="231"/>
    </row>
    <row r="289" spans="1:27" x14ac:dyDescent="0.2">
      <c r="A289" s="39"/>
      <c r="B289" s="39"/>
      <c r="C289" s="43"/>
      <c r="D289" s="43"/>
      <c r="E289" s="43"/>
      <c r="F289" s="132"/>
      <c r="G289" s="41" t="e">
        <f>VLOOKUP(F289,Pcode!A:B,2,FALSE)</f>
        <v>#N/A</v>
      </c>
      <c r="H289" s="41"/>
      <c r="I289" s="41" t="e">
        <f>VLOOKUP(H289,Pcode!C:D,2,FALSE)</f>
        <v>#N/A</v>
      </c>
      <c r="J289" s="41"/>
      <c r="K289" s="160"/>
      <c r="L289" s="160"/>
      <c r="M289" s="46"/>
      <c r="N289" s="136"/>
      <c r="O289" s="136"/>
      <c r="P289" s="136"/>
      <c r="Q289" s="136"/>
      <c r="R289" s="136"/>
      <c r="S289" s="136"/>
      <c r="T289" s="136"/>
      <c r="U289" s="136"/>
      <c r="V289" s="136"/>
      <c r="W289" s="136"/>
      <c r="X289" s="136"/>
      <c r="Y289" s="136"/>
      <c r="Z289" s="136"/>
      <c r="AA289" s="231"/>
    </row>
    <row r="290" spans="1:27" x14ac:dyDescent="0.2">
      <c r="A290" s="39"/>
      <c r="B290" s="39"/>
      <c r="C290" s="43"/>
      <c r="D290" s="43"/>
      <c r="E290" s="43"/>
      <c r="F290" s="132"/>
      <c r="G290" s="41" t="e">
        <f>VLOOKUP(F290,Pcode!A:B,2,FALSE)</f>
        <v>#N/A</v>
      </c>
      <c r="H290" s="41"/>
      <c r="I290" s="41" t="e">
        <f>VLOOKUP(H290,Pcode!C:D,2,FALSE)</f>
        <v>#N/A</v>
      </c>
      <c r="J290" s="41"/>
      <c r="K290" s="160"/>
      <c r="L290" s="160"/>
      <c r="M290" s="46"/>
      <c r="N290" s="136"/>
      <c r="O290" s="136"/>
      <c r="P290" s="136"/>
      <c r="Q290" s="136"/>
      <c r="R290" s="136"/>
      <c r="S290" s="136"/>
      <c r="T290" s="136"/>
      <c r="U290" s="136"/>
      <c r="V290" s="136"/>
      <c r="W290" s="136"/>
      <c r="X290" s="136"/>
      <c r="Y290" s="136"/>
      <c r="Z290" s="136"/>
      <c r="AA290" s="231"/>
    </row>
    <row r="291" spans="1:27" x14ac:dyDescent="0.2">
      <c r="A291" s="39"/>
      <c r="B291" s="39"/>
      <c r="C291" s="43"/>
      <c r="D291" s="43"/>
      <c r="E291" s="43"/>
      <c r="F291" s="132"/>
      <c r="G291" s="41" t="e">
        <f>VLOOKUP(F291,Pcode!A:B,2,FALSE)</f>
        <v>#N/A</v>
      </c>
      <c r="H291" s="41"/>
      <c r="I291" s="41" t="e">
        <f>VLOOKUP(H291,Pcode!C:D,2,FALSE)</f>
        <v>#N/A</v>
      </c>
      <c r="J291" s="41"/>
      <c r="K291" s="160"/>
      <c r="L291" s="160"/>
      <c r="M291" s="46"/>
      <c r="N291" s="136"/>
      <c r="O291" s="136"/>
      <c r="P291" s="136"/>
      <c r="Q291" s="136"/>
      <c r="R291" s="136"/>
      <c r="S291" s="136"/>
      <c r="T291" s="136"/>
      <c r="U291" s="136"/>
      <c r="V291" s="136"/>
      <c r="W291" s="136"/>
      <c r="X291" s="136"/>
      <c r="Y291" s="136"/>
      <c r="Z291" s="136"/>
      <c r="AA291" s="231"/>
    </row>
    <row r="292" spans="1:27" x14ac:dyDescent="0.2">
      <c r="A292" s="39"/>
      <c r="B292" s="39"/>
      <c r="C292" s="43"/>
      <c r="D292" s="43"/>
      <c r="E292" s="43"/>
      <c r="F292" s="132"/>
      <c r="G292" s="41" t="e">
        <f>VLOOKUP(F292,Pcode!A:B,2,FALSE)</f>
        <v>#N/A</v>
      </c>
      <c r="H292" s="41"/>
      <c r="I292" s="41" t="e">
        <f>VLOOKUP(H292,Pcode!C:D,2,FALSE)</f>
        <v>#N/A</v>
      </c>
      <c r="J292" s="41"/>
      <c r="K292" s="160"/>
      <c r="L292" s="160"/>
      <c r="M292" s="46"/>
      <c r="N292" s="136"/>
      <c r="O292" s="136"/>
      <c r="P292" s="136"/>
      <c r="Q292" s="136"/>
      <c r="R292" s="136"/>
      <c r="S292" s="136"/>
      <c r="T292" s="136"/>
      <c r="U292" s="136"/>
      <c r="V292" s="136"/>
      <c r="W292" s="136"/>
      <c r="X292" s="136"/>
      <c r="Y292" s="136"/>
      <c r="Z292" s="136"/>
      <c r="AA292" s="231"/>
    </row>
    <row r="293" spans="1:27" x14ac:dyDescent="0.2">
      <c r="A293" s="39"/>
      <c r="B293" s="39"/>
      <c r="C293" s="43"/>
      <c r="D293" s="43"/>
      <c r="E293" s="43"/>
      <c r="F293" s="132"/>
      <c r="G293" s="41" t="e">
        <f>VLOOKUP(F293,Pcode!A:B,2,FALSE)</f>
        <v>#N/A</v>
      </c>
      <c r="H293" s="41"/>
      <c r="I293" s="41" t="e">
        <f>VLOOKUP(H293,Pcode!C:D,2,FALSE)</f>
        <v>#N/A</v>
      </c>
      <c r="J293" s="41"/>
      <c r="K293" s="160"/>
      <c r="L293" s="160"/>
      <c r="M293" s="46"/>
      <c r="N293" s="136"/>
      <c r="O293" s="136"/>
      <c r="P293" s="136"/>
      <c r="Q293" s="136"/>
      <c r="R293" s="136"/>
      <c r="S293" s="136"/>
      <c r="T293" s="136"/>
      <c r="U293" s="136"/>
      <c r="V293" s="136"/>
      <c r="W293" s="136"/>
      <c r="X293" s="136"/>
      <c r="Y293" s="136"/>
      <c r="Z293" s="136"/>
      <c r="AA293" s="231"/>
    </row>
    <row r="294" spans="1:27" x14ac:dyDescent="0.2">
      <c r="A294" s="39"/>
      <c r="B294" s="39"/>
      <c r="C294" s="43"/>
      <c r="D294" s="43"/>
      <c r="E294" s="43"/>
      <c r="F294" s="132"/>
      <c r="G294" s="41" t="e">
        <f>VLOOKUP(F294,Pcode!A:B,2,FALSE)</f>
        <v>#N/A</v>
      </c>
      <c r="H294" s="41"/>
      <c r="I294" s="41" t="e">
        <f>VLOOKUP(H294,Pcode!C:D,2,FALSE)</f>
        <v>#N/A</v>
      </c>
      <c r="J294" s="41"/>
      <c r="K294" s="160"/>
      <c r="L294" s="160"/>
      <c r="M294" s="46"/>
      <c r="N294" s="136"/>
      <c r="O294" s="136"/>
      <c r="P294" s="136"/>
      <c r="Q294" s="136"/>
      <c r="R294" s="136"/>
      <c r="S294" s="136"/>
      <c r="T294" s="136"/>
      <c r="U294" s="136"/>
      <c r="V294" s="136"/>
      <c r="W294" s="136"/>
      <c r="X294" s="136"/>
      <c r="Y294" s="136"/>
      <c r="Z294" s="136"/>
      <c r="AA294" s="231"/>
    </row>
    <row r="295" spans="1:27" x14ac:dyDescent="0.2">
      <c r="A295" s="39"/>
      <c r="B295" s="39"/>
      <c r="C295" s="43"/>
      <c r="D295" s="43"/>
      <c r="E295" s="43"/>
      <c r="F295" s="132"/>
      <c r="G295" s="41" t="e">
        <f>VLOOKUP(F295,Pcode!A:B,2,FALSE)</f>
        <v>#N/A</v>
      </c>
      <c r="H295" s="41"/>
      <c r="I295" s="41" t="e">
        <f>VLOOKUP(H295,Pcode!C:D,2,FALSE)</f>
        <v>#N/A</v>
      </c>
      <c r="J295" s="41"/>
      <c r="K295" s="160"/>
      <c r="L295" s="160"/>
      <c r="M295" s="46"/>
      <c r="N295" s="136"/>
      <c r="O295" s="136"/>
      <c r="P295" s="136"/>
      <c r="Q295" s="136"/>
      <c r="R295" s="136"/>
      <c r="S295" s="136"/>
      <c r="T295" s="136"/>
      <c r="U295" s="136"/>
      <c r="V295" s="136"/>
      <c r="W295" s="136"/>
      <c r="X295" s="136"/>
      <c r="Y295" s="136"/>
      <c r="Z295" s="136"/>
      <c r="AA295" s="231"/>
    </row>
    <row r="296" spans="1:27" x14ac:dyDescent="0.2">
      <c r="A296" s="39"/>
      <c r="B296" s="39"/>
      <c r="C296" s="43"/>
      <c r="D296" s="43"/>
      <c r="E296" s="43"/>
      <c r="F296" s="132"/>
      <c r="G296" s="41" t="e">
        <f>VLOOKUP(F296,Pcode!A:B,2,FALSE)</f>
        <v>#N/A</v>
      </c>
      <c r="H296" s="41"/>
      <c r="I296" s="41" t="e">
        <f>VLOOKUP(H296,Pcode!C:D,2,FALSE)</f>
        <v>#N/A</v>
      </c>
      <c r="J296" s="41"/>
      <c r="K296" s="160"/>
      <c r="L296" s="160"/>
      <c r="M296" s="46"/>
      <c r="N296" s="136"/>
      <c r="O296" s="136"/>
      <c r="P296" s="136"/>
      <c r="Q296" s="136"/>
      <c r="R296" s="136"/>
      <c r="S296" s="136"/>
      <c r="T296" s="136"/>
      <c r="U296" s="136"/>
      <c r="V296" s="136"/>
      <c r="W296" s="136"/>
      <c r="X296" s="136"/>
      <c r="Y296" s="136"/>
      <c r="Z296" s="136"/>
      <c r="AA296" s="231"/>
    </row>
    <row r="297" spans="1:27" x14ac:dyDescent="0.2">
      <c r="A297" s="39"/>
      <c r="B297" s="39"/>
      <c r="C297" s="43"/>
      <c r="D297" s="43"/>
      <c r="E297" s="43"/>
      <c r="F297" s="132"/>
      <c r="G297" s="41" t="e">
        <f>VLOOKUP(F297,Pcode!A:B,2,FALSE)</f>
        <v>#N/A</v>
      </c>
      <c r="H297" s="41"/>
      <c r="I297" s="41" t="e">
        <f>VLOOKUP(H297,Pcode!C:D,2,FALSE)</f>
        <v>#N/A</v>
      </c>
      <c r="J297" s="41"/>
      <c r="K297" s="160"/>
      <c r="L297" s="160"/>
      <c r="M297" s="46"/>
      <c r="N297" s="136"/>
      <c r="O297" s="136"/>
      <c r="P297" s="136"/>
      <c r="Q297" s="136"/>
      <c r="R297" s="136"/>
      <c r="S297" s="136"/>
      <c r="T297" s="136"/>
      <c r="U297" s="136"/>
      <c r="V297" s="136"/>
      <c r="W297" s="136"/>
      <c r="X297" s="136"/>
      <c r="Y297" s="136"/>
      <c r="Z297" s="136"/>
      <c r="AA297" s="231"/>
    </row>
    <row r="298" spans="1:27" x14ac:dyDescent="0.2">
      <c r="A298" s="39"/>
      <c r="B298" s="39"/>
      <c r="C298" s="43"/>
      <c r="D298" s="43"/>
      <c r="E298" s="43"/>
      <c r="F298" s="132"/>
      <c r="G298" s="41" t="e">
        <f>VLOOKUP(F298,Pcode!A:B,2,FALSE)</f>
        <v>#N/A</v>
      </c>
      <c r="H298" s="41"/>
      <c r="I298" s="41" t="e">
        <f>VLOOKUP(H298,Pcode!C:D,2,FALSE)</f>
        <v>#N/A</v>
      </c>
      <c r="J298" s="41"/>
      <c r="K298" s="160"/>
      <c r="L298" s="160"/>
      <c r="M298" s="46"/>
      <c r="N298" s="136"/>
      <c r="O298" s="136"/>
      <c r="P298" s="136"/>
      <c r="Q298" s="136"/>
      <c r="R298" s="136"/>
      <c r="S298" s="136"/>
      <c r="T298" s="136"/>
      <c r="U298" s="136"/>
      <c r="V298" s="136"/>
      <c r="W298" s="136"/>
      <c r="X298" s="136"/>
      <c r="Y298" s="136"/>
      <c r="Z298" s="136"/>
      <c r="AA298" s="231"/>
    </row>
    <row r="299" spans="1:27" x14ac:dyDescent="0.2">
      <c r="A299" s="39"/>
      <c r="B299" s="39"/>
      <c r="C299" s="43"/>
      <c r="D299" s="43"/>
      <c r="E299" s="43"/>
      <c r="F299" s="132"/>
      <c r="G299" s="41" t="e">
        <f>VLOOKUP(F299,Pcode!A:B,2,FALSE)</f>
        <v>#N/A</v>
      </c>
      <c r="H299" s="41"/>
      <c r="I299" s="41" t="e">
        <f>VLOOKUP(H299,Pcode!C:D,2,FALSE)</f>
        <v>#N/A</v>
      </c>
      <c r="J299" s="41"/>
      <c r="K299" s="160"/>
      <c r="L299" s="160"/>
      <c r="M299" s="46"/>
      <c r="N299" s="136"/>
      <c r="O299" s="136"/>
      <c r="P299" s="136"/>
      <c r="Q299" s="136"/>
      <c r="R299" s="136"/>
      <c r="S299" s="136"/>
      <c r="T299" s="136"/>
      <c r="U299" s="136"/>
      <c r="V299" s="136"/>
      <c r="W299" s="136"/>
      <c r="X299" s="136"/>
      <c r="Y299" s="136"/>
      <c r="Z299" s="136"/>
      <c r="AA299" s="231"/>
    </row>
    <row r="300" spans="1:27" x14ac:dyDescent="0.2">
      <c r="A300" s="39"/>
      <c r="B300" s="39"/>
      <c r="C300" s="43"/>
      <c r="D300" s="43"/>
      <c r="E300" s="43"/>
      <c r="F300" s="132"/>
      <c r="G300" s="41" t="e">
        <f>VLOOKUP(F300,Pcode!A:B,2,FALSE)</f>
        <v>#N/A</v>
      </c>
      <c r="H300" s="41"/>
      <c r="I300" s="41" t="e">
        <f>VLOOKUP(H300,Pcode!C:D,2,FALSE)</f>
        <v>#N/A</v>
      </c>
      <c r="J300" s="41"/>
      <c r="K300" s="160"/>
      <c r="L300" s="160"/>
      <c r="M300" s="46"/>
      <c r="N300" s="136"/>
      <c r="O300" s="136"/>
      <c r="P300" s="136"/>
      <c r="Q300" s="136"/>
      <c r="R300" s="136"/>
      <c r="S300" s="136"/>
      <c r="T300" s="136"/>
      <c r="U300" s="136"/>
      <c r="V300" s="136"/>
      <c r="W300" s="136"/>
      <c r="X300" s="136"/>
      <c r="Y300" s="136"/>
      <c r="Z300" s="136"/>
      <c r="AA300" s="231"/>
    </row>
    <row r="301" spans="1:27" x14ac:dyDescent="0.2">
      <c r="A301" s="39"/>
      <c r="B301" s="39"/>
      <c r="C301" s="43"/>
      <c r="D301" s="43"/>
      <c r="E301" s="43"/>
      <c r="F301" s="132"/>
      <c r="G301" s="41" t="e">
        <f>VLOOKUP(F301,Pcode!A:B,2,FALSE)</f>
        <v>#N/A</v>
      </c>
      <c r="H301" s="41"/>
      <c r="I301" s="41" t="e">
        <f>VLOOKUP(H301,Pcode!C:D,2,FALSE)</f>
        <v>#N/A</v>
      </c>
      <c r="J301" s="41"/>
      <c r="K301" s="160"/>
      <c r="L301" s="160"/>
      <c r="M301" s="46"/>
      <c r="N301" s="136"/>
      <c r="O301" s="136"/>
      <c r="P301" s="136"/>
      <c r="Q301" s="136"/>
      <c r="R301" s="136"/>
      <c r="S301" s="136"/>
      <c r="T301" s="136"/>
      <c r="U301" s="136"/>
      <c r="V301" s="136"/>
      <c r="W301" s="136"/>
      <c r="X301" s="136"/>
      <c r="Y301" s="136"/>
      <c r="Z301" s="136"/>
      <c r="AA301" s="231"/>
    </row>
    <row r="302" spans="1:27" x14ac:dyDescent="0.2">
      <c r="A302" s="39"/>
      <c r="B302" s="39"/>
      <c r="C302" s="43"/>
      <c r="D302" s="43"/>
      <c r="E302" s="43"/>
      <c r="F302" s="132"/>
      <c r="G302" s="41" t="e">
        <f>VLOOKUP(F302,Pcode!A:B,2,FALSE)</f>
        <v>#N/A</v>
      </c>
      <c r="H302" s="41"/>
      <c r="I302" s="41" t="e">
        <f>VLOOKUP(H302,Pcode!C:D,2,FALSE)</f>
        <v>#N/A</v>
      </c>
      <c r="J302" s="41"/>
      <c r="K302" s="160"/>
      <c r="L302" s="160"/>
      <c r="M302" s="46"/>
      <c r="N302" s="136"/>
      <c r="O302" s="136"/>
      <c r="P302" s="136"/>
      <c r="Q302" s="136"/>
      <c r="R302" s="136"/>
      <c r="S302" s="136"/>
      <c r="T302" s="136"/>
      <c r="U302" s="136"/>
      <c r="V302" s="136"/>
      <c r="W302" s="136"/>
      <c r="X302" s="136"/>
      <c r="Y302" s="136"/>
      <c r="Z302" s="136"/>
      <c r="AA302" s="231"/>
    </row>
    <row r="303" spans="1:27" x14ac:dyDescent="0.2">
      <c r="A303" s="39"/>
      <c r="B303" s="39"/>
      <c r="C303" s="43"/>
      <c r="D303" s="43"/>
      <c r="E303" s="43"/>
      <c r="F303" s="132"/>
      <c r="G303" s="41" t="e">
        <f>VLOOKUP(F303,Pcode!A:B,2,FALSE)</f>
        <v>#N/A</v>
      </c>
      <c r="H303" s="41"/>
      <c r="I303" s="41" t="e">
        <f>VLOOKUP(H303,Pcode!C:D,2,FALSE)</f>
        <v>#N/A</v>
      </c>
      <c r="J303" s="41"/>
      <c r="K303" s="160"/>
      <c r="L303" s="160"/>
      <c r="M303" s="46"/>
      <c r="N303" s="136"/>
      <c r="O303" s="136"/>
      <c r="P303" s="136"/>
      <c r="Q303" s="136"/>
      <c r="R303" s="136"/>
      <c r="S303" s="136"/>
      <c r="T303" s="136"/>
      <c r="U303" s="136"/>
      <c r="V303" s="136"/>
      <c r="W303" s="136"/>
      <c r="X303" s="136"/>
      <c r="Y303" s="136"/>
      <c r="Z303" s="136"/>
      <c r="AA303" s="231"/>
    </row>
    <row r="304" spans="1:27" x14ac:dyDescent="0.2">
      <c r="A304" s="39"/>
      <c r="B304" s="39"/>
      <c r="C304" s="43"/>
      <c r="D304" s="43"/>
      <c r="E304" s="43"/>
      <c r="F304" s="132"/>
      <c r="G304" s="41" t="e">
        <f>VLOOKUP(F304,Pcode!A:B,2,FALSE)</f>
        <v>#N/A</v>
      </c>
      <c r="H304" s="41"/>
      <c r="I304" s="41" t="e">
        <f>VLOOKUP(H304,Pcode!C:D,2,FALSE)</f>
        <v>#N/A</v>
      </c>
      <c r="J304" s="41"/>
      <c r="K304" s="160"/>
      <c r="L304" s="160"/>
      <c r="M304" s="46"/>
      <c r="N304" s="136"/>
      <c r="O304" s="136"/>
      <c r="P304" s="136"/>
      <c r="Q304" s="136"/>
      <c r="R304" s="136"/>
      <c r="S304" s="136"/>
      <c r="T304" s="136"/>
      <c r="U304" s="136"/>
      <c r="V304" s="136"/>
      <c r="W304" s="136"/>
      <c r="X304" s="136"/>
      <c r="Y304" s="136"/>
      <c r="Z304" s="136"/>
      <c r="AA304" s="231"/>
    </row>
    <row r="305" spans="1:27" x14ac:dyDescent="0.2">
      <c r="A305" s="39"/>
      <c r="B305" s="39"/>
      <c r="C305" s="43"/>
      <c r="D305" s="43"/>
      <c r="E305" s="43"/>
      <c r="F305" s="132"/>
      <c r="G305" s="41" t="e">
        <f>VLOOKUP(F305,Pcode!A:B,2,FALSE)</f>
        <v>#N/A</v>
      </c>
      <c r="H305" s="41"/>
      <c r="I305" s="41" t="e">
        <f>VLOOKUP(H305,Pcode!C:D,2,FALSE)</f>
        <v>#N/A</v>
      </c>
      <c r="J305" s="41"/>
      <c r="K305" s="160"/>
      <c r="L305" s="160"/>
      <c r="M305" s="46"/>
      <c r="N305" s="136"/>
      <c r="O305" s="136"/>
      <c r="P305" s="136"/>
      <c r="Q305" s="136"/>
      <c r="R305" s="136"/>
      <c r="S305" s="136"/>
      <c r="T305" s="136"/>
      <c r="U305" s="136"/>
      <c r="V305" s="136"/>
      <c r="W305" s="136"/>
      <c r="X305" s="136"/>
      <c r="Y305" s="136"/>
      <c r="Z305" s="136"/>
      <c r="AA305" s="231"/>
    </row>
    <row r="306" spans="1:27" x14ac:dyDescent="0.2">
      <c r="A306" s="39"/>
      <c r="B306" s="39"/>
      <c r="C306" s="43"/>
      <c r="D306" s="43"/>
      <c r="E306" s="43"/>
      <c r="F306" s="132"/>
      <c r="G306" s="41" t="e">
        <f>VLOOKUP(F306,Pcode!A:B,2,FALSE)</f>
        <v>#N/A</v>
      </c>
      <c r="H306" s="41"/>
      <c r="I306" s="41" t="e">
        <f>VLOOKUP(H306,Pcode!C:D,2,FALSE)</f>
        <v>#N/A</v>
      </c>
      <c r="J306" s="41"/>
      <c r="K306" s="160"/>
      <c r="L306" s="160"/>
      <c r="M306" s="46"/>
      <c r="N306" s="136"/>
      <c r="O306" s="136"/>
      <c r="P306" s="136"/>
      <c r="Q306" s="136"/>
      <c r="R306" s="136"/>
      <c r="S306" s="136"/>
      <c r="T306" s="136"/>
      <c r="U306" s="136"/>
      <c r="V306" s="136"/>
      <c r="W306" s="136"/>
      <c r="X306" s="136"/>
      <c r="Y306" s="136"/>
      <c r="Z306" s="136"/>
      <c r="AA306" s="231"/>
    </row>
    <row r="307" spans="1:27" x14ac:dyDescent="0.2">
      <c r="A307" s="39"/>
      <c r="B307" s="39"/>
      <c r="C307" s="43"/>
      <c r="D307" s="43"/>
      <c r="E307" s="43"/>
      <c r="F307" s="132"/>
      <c r="G307" s="41" t="e">
        <f>VLOOKUP(F307,Pcode!A:B,2,FALSE)</f>
        <v>#N/A</v>
      </c>
      <c r="H307" s="41"/>
      <c r="I307" s="41" t="e">
        <f>VLOOKUP(H307,Pcode!C:D,2,FALSE)</f>
        <v>#N/A</v>
      </c>
      <c r="J307" s="41"/>
      <c r="K307" s="160"/>
      <c r="L307" s="160"/>
      <c r="M307" s="46"/>
      <c r="N307" s="136"/>
      <c r="O307" s="136"/>
      <c r="P307" s="136"/>
      <c r="Q307" s="136"/>
      <c r="R307" s="136"/>
      <c r="S307" s="136"/>
      <c r="T307" s="136"/>
      <c r="U307" s="136"/>
      <c r="V307" s="136"/>
      <c r="W307" s="136"/>
      <c r="X307" s="136"/>
      <c r="Y307" s="136"/>
      <c r="Z307" s="136"/>
      <c r="AA307" s="231"/>
    </row>
    <row r="308" spans="1:27" x14ac:dyDescent="0.2">
      <c r="A308" s="39"/>
      <c r="B308" s="39"/>
      <c r="C308" s="43"/>
      <c r="D308" s="43"/>
      <c r="E308" s="43"/>
      <c r="F308" s="132"/>
      <c r="G308" s="41" t="e">
        <f>VLOOKUP(F308,Pcode!A:B,2,FALSE)</f>
        <v>#N/A</v>
      </c>
      <c r="H308" s="41"/>
      <c r="I308" s="41" t="e">
        <f>VLOOKUP(H308,Pcode!C:D,2,FALSE)</f>
        <v>#N/A</v>
      </c>
      <c r="J308" s="41"/>
      <c r="K308" s="160"/>
      <c r="L308" s="160"/>
      <c r="M308" s="46"/>
      <c r="N308" s="136"/>
      <c r="O308" s="136"/>
      <c r="P308" s="136"/>
      <c r="Q308" s="136"/>
      <c r="R308" s="136"/>
      <c r="S308" s="136"/>
      <c r="T308" s="136"/>
      <c r="U308" s="136"/>
      <c r="V308" s="136"/>
      <c r="W308" s="136"/>
      <c r="X308" s="136"/>
      <c r="Y308" s="136"/>
      <c r="Z308" s="136"/>
      <c r="AA308" s="231"/>
    </row>
    <row r="309" spans="1:27" x14ac:dyDescent="0.2">
      <c r="A309" s="39"/>
      <c r="B309" s="39"/>
      <c r="C309" s="43"/>
      <c r="D309" s="43"/>
      <c r="E309" s="43"/>
      <c r="F309" s="132"/>
      <c r="G309" s="41" t="e">
        <f>VLOOKUP(F309,Pcode!A:B,2,FALSE)</f>
        <v>#N/A</v>
      </c>
      <c r="H309" s="41"/>
      <c r="I309" s="41" t="e">
        <f>VLOOKUP(H309,Pcode!C:D,2,FALSE)</f>
        <v>#N/A</v>
      </c>
      <c r="J309" s="41"/>
      <c r="K309" s="160"/>
      <c r="L309" s="160"/>
      <c r="M309" s="46"/>
      <c r="N309" s="136"/>
      <c r="O309" s="136"/>
      <c r="P309" s="136"/>
      <c r="Q309" s="136"/>
      <c r="R309" s="136"/>
      <c r="S309" s="136"/>
      <c r="T309" s="136"/>
      <c r="U309" s="136"/>
      <c r="V309" s="136"/>
      <c r="W309" s="136"/>
      <c r="X309" s="136"/>
      <c r="Y309" s="136"/>
      <c r="Z309" s="136"/>
      <c r="AA309" s="231"/>
    </row>
    <row r="310" spans="1:27" x14ac:dyDescent="0.2">
      <c r="A310" s="39"/>
      <c r="B310" s="39"/>
      <c r="C310" s="43"/>
      <c r="D310" s="43"/>
      <c r="E310" s="43"/>
      <c r="F310" s="132"/>
      <c r="G310" s="41" t="e">
        <f>VLOOKUP(F310,Pcode!A:B,2,FALSE)</f>
        <v>#N/A</v>
      </c>
      <c r="H310" s="41"/>
      <c r="I310" s="41" t="e">
        <f>VLOOKUP(H310,Pcode!C:D,2,FALSE)</f>
        <v>#N/A</v>
      </c>
      <c r="J310" s="41"/>
      <c r="K310" s="160"/>
      <c r="L310" s="160"/>
      <c r="M310" s="46"/>
      <c r="N310" s="136"/>
      <c r="O310" s="136"/>
      <c r="P310" s="136"/>
      <c r="Q310" s="136"/>
      <c r="R310" s="136"/>
      <c r="S310" s="136"/>
      <c r="T310" s="136"/>
      <c r="U310" s="136"/>
      <c r="V310" s="136"/>
      <c r="W310" s="136"/>
      <c r="X310" s="136"/>
      <c r="Y310" s="136"/>
      <c r="Z310" s="136"/>
      <c r="AA310" s="231"/>
    </row>
    <row r="311" spans="1:27" x14ac:dyDescent="0.2">
      <c r="A311" s="39"/>
      <c r="B311" s="39"/>
      <c r="C311" s="43"/>
      <c r="D311" s="43"/>
      <c r="E311" s="43"/>
      <c r="F311" s="132"/>
      <c r="G311" s="41" t="e">
        <f>VLOOKUP(F311,Pcode!A:B,2,FALSE)</f>
        <v>#N/A</v>
      </c>
      <c r="H311" s="41"/>
      <c r="I311" s="41" t="e">
        <f>VLOOKUP(H311,Pcode!C:D,2,FALSE)</f>
        <v>#N/A</v>
      </c>
      <c r="J311" s="41"/>
      <c r="K311" s="160"/>
      <c r="L311" s="160"/>
      <c r="M311" s="46"/>
      <c r="N311" s="136"/>
      <c r="O311" s="136"/>
      <c r="P311" s="136"/>
      <c r="Q311" s="136"/>
      <c r="R311" s="136"/>
      <c r="S311" s="136"/>
      <c r="T311" s="136"/>
      <c r="U311" s="136"/>
      <c r="V311" s="136"/>
      <c r="W311" s="136"/>
      <c r="X311" s="136"/>
      <c r="Y311" s="136"/>
      <c r="Z311" s="136"/>
      <c r="AA311" s="231"/>
    </row>
    <row r="312" spans="1:27" x14ac:dyDescent="0.2">
      <c r="A312" s="39"/>
      <c r="B312" s="39"/>
      <c r="C312" s="43"/>
      <c r="D312" s="43"/>
      <c r="E312" s="43"/>
      <c r="F312" s="132"/>
      <c r="G312" s="41" t="e">
        <f>VLOOKUP(F312,Pcode!A:B,2,FALSE)</f>
        <v>#N/A</v>
      </c>
      <c r="H312" s="41"/>
      <c r="I312" s="41" t="e">
        <f>VLOOKUP(H312,Pcode!C:D,2,FALSE)</f>
        <v>#N/A</v>
      </c>
      <c r="J312" s="41"/>
      <c r="K312" s="160"/>
      <c r="L312" s="160"/>
      <c r="M312" s="46"/>
      <c r="N312" s="136"/>
      <c r="O312" s="136"/>
      <c r="P312" s="136"/>
      <c r="Q312" s="136"/>
      <c r="R312" s="136"/>
      <c r="S312" s="136"/>
      <c r="T312" s="136"/>
      <c r="U312" s="136"/>
      <c r="V312" s="136"/>
      <c r="W312" s="136"/>
      <c r="X312" s="136"/>
      <c r="Y312" s="136"/>
      <c r="Z312" s="136"/>
      <c r="AA312" s="231"/>
    </row>
    <row r="313" spans="1:27" x14ac:dyDescent="0.2">
      <c r="A313" s="39"/>
      <c r="B313" s="39"/>
      <c r="C313" s="43"/>
      <c r="D313" s="43"/>
      <c r="E313" s="43"/>
      <c r="F313" s="132"/>
      <c r="G313" s="41" t="e">
        <f>VLOOKUP(F313,Pcode!A:B,2,FALSE)</f>
        <v>#N/A</v>
      </c>
      <c r="H313" s="41"/>
      <c r="I313" s="41" t="e">
        <f>VLOOKUP(H313,Pcode!C:D,2,FALSE)</f>
        <v>#N/A</v>
      </c>
      <c r="J313" s="41"/>
      <c r="K313" s="160"/>
      <c r="L313" s="160"/>
      <c r="M313" s="46"/>
      <c r="N313" s="136"/>
      <c r="O313" s="136"/>
      <c r="P313" s="136"/>
      <c r="Q313" s="136"/>
      <c r="R313" s="136"/>
      <c r="S313" s="136"/>
      <c r="T313" s="136"/>
      <c r="U313" s="136"/>
      <c r="V313" s="136"/>
      <c r="W313" s="136"/>
      <c r="X313" s="136"/>
      <c r="Y313" s="136"/>
      <c r="Z313" s="136"/>
      <c r="AA313" s="231"/>
    </row>
    <row r="314" spans="1:27" x14ac:dyDescent="0.2">
      <c r="A314" s="39"/>
      <c r="B314" s="39"/>
      <c r="C314" s="43"/>
      <c r="D314" s="43"/>
      <c r="E314" s="43"/>
      <c r="F314" s="132"/>
      <c r="G314" s="41" t="e">
        <f>VLOOKUP(F314,Pcode!A:B,2,FALSE)</f>
        <v>#N/A</v>
      </c>
      <c r="H314" s="41"/>
      <c r="I314" s="41" t="e">
        <f>VLOOKUP(H314,Pcode!C:D,2,FALSE)</f>
        <v>#N/A</v>
      </c>
      <c r="J314" s="41"/>
      <c r="K314" s="160"/>
      <c r="L314" s="160"/>
      <c r="M314" s="46"/>
      <c r="N314" s="136"/>
      <c r="O314" s="136"/>
      <c r="P314" s="136"/>
      <c r="Q314" s="136"/>
      <c r="R314" s="136"/>
      <c r="S314" s="136"/>
      <c r="T314" s="136"/>
      <c r="U314" s="136"/>
      <c r="V314" s="136"/>
      <c r="W314" s="136"/>
      <c r="X314" s="136"/>
      <c r="Y314" s="136"/>
      <c r="Z314" s="136"/>
      <c r="AA314" s="231"/>
    </row>
    <row r="315" spans="1:27" x14ac:dyDescent="0.2">
      <c r="A315" s="39"/>
      <c r="B315" s="39"/>
      <c r="C315" s="43"/>
      <c r="D315" s="43"/>
      <c r="E315" s="43"/>
      <c r="F315" s="132"/>
      <c r="G315" s="41" t="e">
        <f>VLOOKUP(F315,Pcode!A:B,2,FALSE)</f>
        <v>#N/A</v>
      </c>
      <c r="H315" s="41"/>
      <c r="I315" s="41" t="e">
        <f>VLOOKUP(H315,Pcode!C:D,2,FALSE)</f>
        <v>#N/A</v>
      </c>
      <c r="J315" s="41"/>
      <c r="K315" s="160"/>
      <c r="L315" s="160"/>
      <c r="M315" s="46"/>
      <c r="N315" s="136"/>
      <c r="O315" s="136"/>
      <c r="P315" s="136"/>
      <c r="Q315" s="136"/>
      <c r="R315" s="136"/>
      <c r="S315" s="136"/>
      <c r="T315" s="136"/>
      <c r="U315" s="136"/>
      <c r="V315" s="136"/>
      <c r="W315" s="136"/>
      <c r="X315" s="136"/>
      <c r="Y315" s="136"/>
      <c r="Z315" s="136"/>
      <c r="AA315" s="231"/>
    </row>
    <row r="316" spans="1:27" x14ac:dyDescent="0.2">
      <c r="A316" s="39"/>
      <c r="B316" s="39"/>
      <c r="C316" s="43"/>
      <c r="D316" s="43"/>
      <c r="E316" s="43"/>
      <c r="F316" s="132"/>
      <c r="G316" s="41" t="e">
        <f>VLOOKUP(F316,Pcode!A:B,2,FALSE)</f>
        <v>#N/A</v>
      </c>
      <c r="H316" s="41"/>
      <c r="I316" s="41" t="e">
        <f>VLOOKUP(H316,Pcode!C:D,2,FALSE)</f>
        <v>#N/A</v>
      </c>
      <c r="J316" s="41"/>
      <c r="K316" s="160"/>
      <c r="L316" s="160"/>
      <c r="M316" s="46"/>
      <c r="N316" s="136"/>
      <c r="O316" s="136"/>
      <c r="P316" s="136"/>
      <c r="Q316" s="136"/>
      <c r="R316" s="136"/>
      <c r="S316" s="136"/>
      <c r="T316" s="136"/>
      <c r="U316" s="136"/>
      <c r="V316" s="136"/>
      <c r="W316" s="136"/>
      <c r="X316" s="136"/>
      <c r="Y316" s="136"/>
      <c r="Z316" s="136"/>
      <c r="AA316" s="231"/>
    </row>
    <row r="317" spans="1:27" x14ac:dyDescent="0.2">
      <c r="A317" s="39"/>
      <c r="B317" s="39"/>
      <c r="C317" s="43"/>
      <c r="D317" s="43"/>
      <c r="E317" s="43"/>
      <c r="F317" s="132"/>
      <c r="G317" s="41" t="e">
        <f>VLOOKUP(F317,Pcode!A:B,2,FALSE)</f>
        <v>#N/A</v>
      </c>
      <c r="H317" s="41"/>
      <c r="I317" s="41" t="e">
        <f>VLOOKUP(H317,Pcode!C:D,2,FALSE)</f>
        <v>#N/A</v>
      </c>
      <c r="J317" s="41"/>
      <c r="K317" s="160"/>
      <c r="L317" s="160"/>
      <c r="M317" s="46"/>
      <c r="N317" s="136"/>
      <c r="O317" s="136"/>
      <c r="P317" s="136"/>
      <c r="Q317" s="136"/>
      <c r="R317" s="136"/>
      <c r="S317" s="136"/>
      <c r="T317" s="136"/>
      <c r="U317" s="136"/>
      <c r="V317" s="136"/>
      <c r="W317" s="136"/>
      <c r="X317" s="136"/>
      <c r="Y317" s="136"/>
      <c r="Z317" s="136"/>
      <c r="AA317" s="231"/>
    </row>
    <row r="318" spans="1:27" x14ac:dyDescent="0.2">
      <c r="A318" s="39"/>
      <c r="B318" s="39"/>
      <c r="C318" s="43"/>
      <c r="D318" s="43"/>
      <c r="E318" s="43"/>
      <c r="F318" s="132"/>
      <c r="G318" s="41" t="e">
        <f>VLOOKUP(F318,Pcode!A:B,2,FALSE)</f>
        <v>#N/A</v>
      </c>
      <c r="H318" s="41"/>
      <c r="I318" s="41" t="e">
        <f>VLOOKUP(H318,Pcode!C:D,2,FALSE)</f>
        <v>#N/A</v>
      </c>
      <c r="J318" s="41"/>
      <c r="K318" s="160"/>
      <c r="L318" s="160"/>
      <c r="M318" s="46"/>
      <c r="N318" s="136"/>
      <c r="O318" s="136"/>
      <c r="P318" s="136"/>
      <c r="Q318" s="136"/>
      <c r="R318" s="136"/>
      <c r="S318" s="136"/>
      <c r="T318" s="136"/>
      <c r="U318" s="136"/>
      <c r="V318" s="136"/>
      <c r="W318" s="136"/>
      <c r="X318" s="136"/>
      <c r="Y318" s="136"/>
      <c r="Z318" s="136"/>
      <c r="AA318" s="231"/>
    </row>
    <row r="319" spans="1:27" x14ac:dyDescent="0.2">
      <c r="A319" s="39"/>
      <c r="B319" s="39"/>
      <c r="C319" s="43"/>
      <c r="D319" s="43"/>
      <c r="E319" s="43"/>
      <c r="F319" s="132"/>
      <c r="G319" s="41" t="e">
        <f>VLOOKUP(F319,Pcode!A:B,2,FALSE)</f>
        <v>#N/A</v>
      </c>
      <c r="H319" s="41"/>
      <c r="I319" s="41" t="e">
        <f>VLOOKUP(H319,Pcode!C:D,2,FALSE)</f>
        <v>#N/A</v>
      </c>
      <c r="J319" s="41"/>
      <c r="K319" s="160"/>
      <c r="L319" s="160"/>
      <c r="M319" s="46"/>
      <c r="N319" s="136"/>
      <c r="O319" s="136"/>
      <c r="P319" s="136"/>
      <c r="Q319" s="136"/>
      <c r="R319" s="136"/>
      <c r="S319" s="136"/>
      <c r="T319" s="136"/>
      <c r="U319" s="136"/>
      <c r="V319" s="136"/>
      <c r="W319" s="136"/>
      <c r="X319" s="136"/>
      <c r="Y319" s="136"/>
      <c r="Z319" s="136"/>
      <c r="AA319" s="231"/>
    </row>
    <row r="320" spans="1:27" x14ac:dyDescent="0.2">
      <c r="A320" s="39"/>
      <c r="B320" s="39"/>
      <c r="C320" s="43"/>
      <c r="D320" s="43"/>
      <c r="E320" s="43"/>
      <c r="F320" s="132"/>
      <c r="G320" s="41" t="e">
        <f>VLOOKUP(F320,Pcode!A:B,2,FALSE)</f>
        <v>#N/A</v>
      </c>
      <c r="H320" s="41"/>
      <c r="I320" s="41" t="e">
        <f>VLOOKUP(H320,Pcode!C:D,2,FALSE)</f>
        <v>#N/A</v>
      </c>
      <c r="J320" s="41"/>
      <c r="K320" s="160"/>
      <c r="L320" s="160"/>
      <c r="M320" s="46"/>
      <c r="N320" s="136"/>
      <c r="O320" s="136"/>
      <c r="P320" s="136"/>
      <c r="Q320" s="136"/>
      <c r="R320" s="136"/>
      <c r="S320" s="136"/>
      <c r="T320" s="136"/>
      <c r="U320" s="136"/>
      <c r="V320" s="136"/>
      <c r="W320" s="136"/>
      <c r="X320" s="136"/>
      <c r="Y320" s="136"/>
      <c r="Z320" s="136"/>
      <c r="AA320" s="231"/>
    </row>
    <row r="321" spans="1:27" x14ac:dyDescent="0.2">
      <c r="A321" s="39"/>
      <c r="B321" s="39"/>
      <c r="C321" s="43"/>
      <c r="D321" s="43"/>
      <c r="E321" s="43"/>
      <c r="F321" s="132"/>
      <c r="G321" s="41" t="e">
        <f>VLOOKUP(F321,Pcode!A:B,2,FALSE)</f>
        <v>#N/A</v>
      </c>
      <c r="H321" s="41"/>
      <c r="I321" s="41" t="e">
        <f>VLOOKUP(H321,Pcode!C:D,2,FALSE)</f>
        <v>#N/A</v>
      </c>
      <c r="J321" s="41"/>
      <c r="K321" s="160"/>
      <c r="L321" s="160"/>
      <c r="M321" s="46"/>
      <c r="N321" s="136"/>
      <c r="O321" s="136"/>
      <c r="P321" s="136"/>
      <c r="Q321" s="136"/>
      <c r="R321" s="136"/>
      <c r="S321" s="136"/>
      <c r="T321" s="136"/>
      <c r="U321" s="136"/>
      <c r="V321" s="136"/>
      <c r="W321" s="136"/>
      <c r="X321" s="136"/>
      <c r="Y321" s="136"/>
      <c r="Z321" s="136"/>
      <c r="AA321" s="231"/>
    </row>
    <row r="322" spans="1:27" x14ac:dyDescent="0.2">
      <c r="A322" s="39"/>
      <c r="B322" s="39"/>
      <c r="C322" s="43"/>
      <c r="D322" s="43"/>
      <c r="E322" s="43"/>
      <c r="F322" s="132"/>
      <c r="G322" s="41" t="e">
        <f>VLOOKUP(F322,Pcode!A:B,2,FALSE)</f>
        <v>#N/A</v>
      </c>
      <c r="H322" s="41"/>
      <c r="I322" s="41" t="e">
        <f>VLOOKUP(H322,Pcode!C:D,2,FALSE)</f>
        <v>#N/A</v>
      </c>
      <c r="J322" s="41"/>
      <c r="K322" s="160"/>
      <c r="L322" s="160"/>
      <c r="M322" s="46"/>
      <c r="N322" s="136"/>
      <c r="O322" s="136"/>
      <c r="P322" s="136"/>
      <c r="Q322" s="136"/>
      <c r="R322" s="136"/>
      <c r="S322" s="136"/>
      <c r="T322" s="136"/>
      <c r="U322" s="136"/>
      <c r="V322" s="136"/>
      <c r="W322" s="136"/>
      <c r="X322" s="136"/>
      <c r="Y322" s="136"/>
      <c r="Z322" s="136"/>
      <c r="AA322" s="231"/>
    </row>
    <row r="323" spans="1:27" x14ac:dyDescent="0.2">
      <c r="A323" s="39"/>
      <c r="B323" s="39"/>
      <c r="C323" s="43"/>
      <c r="D323" s="43"/>
      <c r="E323" s="43"/>
      <c r="F323" s="132"/>
      <c r="G323" s="41" t="e">
        <f>VLOOKUP(F323,Pcode!A:B,2,FALSE)</f>
        <v>#N/A</v>
      </c>
      <c r="H323" s="41"/>
      <c r="I323" s="41" t="e">
        <f>VLOOKUP(H323,Pcode!C:D,2,FALSE)</f>
        <v>#N/A</v>
      </c>
      <c r="J323" s="41"/>
      <c r="K323" s="160"/>
      <c r="L323" s="160"/>
      <c r="M323" s="46"/>
      <c r="N323" s="136"/>
      <c r="O323" s="136"/>
      <c r="P323" s="136"/>
      <c r="Q323" s="136"/>
      <c r="R323" s="136"/>
      <c r="S323" s="136"/>
      <c r="T323" s="136"/>
      <c r="U323" s="136"/>
      <c r="V323" s="136"/>
      <c r="W323" s="136"/>
      <c r="X323" s="136"/>
      <c r="Y323" s="136"/>
      <c r="Z323" s="136"/>
      <c r="AA323" s="231"/>
    </row>
    <row r="324" spans="1:27" x14ac:dyDescent="0.2">
      <c r="A324" s="39"/>
      <c r="B324" s="39"/>
      <c r="C324" s="43"/>
      <c r="D324" s="43"/>
      <c r="E324" s="43"/>
      <c r="F324" s="132"/>
      <c r="G324" s="41" t="e">
        <f>VLOOKUP(F324,Pcode!A:B,2,FALSE)</f>
        <v>#N/A</v>
      </c>
      <c r="H324" s="41"/>
      <c r="I324" s="41" t="e">
        <f>VLOOKUP(H324,Pcode!C:D,2,FALSE)</f>
        <v>#N/A</v>
      </c>
      <c r="J324" s="41"/>
      <c r="K324" s="160"/>
      <c r="L324" s="160"/>
      <c r="M324" s="46"/>
      <c r="N324" s="136"/>
      <c r="O324" s="136"/>
      <c r="P324" s="136"/>
      <c r="Q324" s="136"/>
      <c r="R324" s="136"/>
      <c r="S324" s="136"/>
      <c r="T324" s="136"/>
      <c r="U324" s="136"/>
      <c r="V324" s="136"/>
      <c r="W324" s="136"/>
      <c r="X324" s="136"/>
      <c r="Y324" s="136"/>
      <c r="Z324" s="136"/>
      <c r="AA324" s="231"/>
    </row>
    <row r="325" spans="1:27" x14ac:dyDescent="0.2">
      <c r="A325" s="39"/>
      <c r="B325" s="39"/>
      <c r="C325" s="43"/>
      <c r="D325" s="43"/>
      <c r="E325" s="43"/>
      <c r="F325" s="132"/>
      <c r="G325" s="41" t="e">
        <f>VLOOKUP(F325,Pcode!A:B,2,FALSE)</f>
        <v>#N/A</v>
      </c>
      <c r="H325" s="41"/>
      <c r="I325" s="41" t="e">
        <f>VLOOKUP(H325,Pcode!C:D,2,FALSE)</f>
        <v>#N/A</v>
      </c>
      <c r="J325" s="41"/>
      <c r="K325" s="160"/>
      <c r="L325" s="160"/>
      <c r="M325" s="46"/>
      <c r="N325" s="136"/>
      <c r="O325" s="136"/>
      <c r="P325" s="136"/>
      <c r="Q325" s="136"/>
      <c r="R325" s="136"/>
      <c r="S325" s="136"/>
      <c r="T325" s="136"/>
      <c r="U325" s="136"/>
      <c r="V325" s="136"/>
      <c r="W325" s="136"/>
      <c r="X325" s="136"/>
      <c r="Y325" s="136"/>
      <c r="Z325" s="136"/>
      <c r="AA325" s="231"/>
    </row>
    <row r="326" spans="1:27" x14ac:dyDescent="0.2">
      <c r="A326" s="39"/>
      <c r="B326" s="39"/>
      <c r="C326" s="43"/>
      <c r="D326" s="43"/>
      <c r="E326" s="43"/>
      <c r="F326" s="132"/>
      <c r="G326" s="41" t="e">
        <f>VLOOKUP(F326,Pcode!A:B,2,FALSE)</f>
        <v>#N/A</v>
      </c>
      <c r="H326" s="41"/>
      <c r="I326" s="41" t="e">
        <f>VLOOKUP(H326,Pcode!C:D,2,FALSE)</f>
        <v>#N/A</v>
      </c>
      <c r="J326" s="41"/>
      <c r="K326" s="160"/>
      <c r="L326" s="160"/>
      <c r="M326" s="46"/>
      <c r="N326" s="136"/>
      <c r="O326" s="136"/>
      <c r="P326" s="136"/>
      <c r="Q326" s="136"/>
      <c r="R326" s="136"/>
      <c r="S326" s="136"/>
      <c r="T326" s="136"/>
      <c r="U326" s="136"/>
      <c r="V326" s="136"/>
      <c r="W326" s="136"/>
      <c r="X326" s="136"/>
      <c r="Y326" s="136"/>
      <c r="Z326" s="136"/>
      <c r="AA326" s="231"/>
    </row>
    <row r="327" spans="1:27" x14ac:dyDescent="0.2">
      <c r="A327" s="39"/>
      <c r="B327" s="39"/>
      <c r="C327" s="43"/>
      <c r="D327" s="43"/>
      <c r="E327" s="43"/>
      <c r="F327" s="132"/>
      <c r="G327" s="41" t="e">
        <f>VLOOKUP(F327,Pcode!A:B,2,FALSE)</f>
        <v>#N/A</v>
      </c>
      <c r="H327" s="41"/>
      <c r="I327" s="41" t="e">
        <f>VLOOKUP(H327,Pcode!C:D,2,FALSE)</f>
        <v>#N/A</v>
      </c>
      <c r="J327" s="41"/>
      <c r="K327" s="160"/>
      <c r="L327" s="160"/>
      <c r="M327" s="46"/>
      <c r="N327" s="136"/>
      <c r="O327" s="136"/>
      <c r="P327" s="136"/>
      <c r="Q327" s="136"/>
      <c r="R327" s="136"/>
      <c r="S327" s="136"/>
      <c r="T327" s="136"/>
      <c r="U327" s="136"/>
      <c r="V327" s="136"/>
      <c r="W327" s="136"/>
      <c r="X327" s="136"/>
      <c r="Y327" s="136"/>
      <c r="Z327" s="136"/>
      <c r="AA327" s="231"/>
    </row>
    <row r="328" spans="1:27" x14ac:dyDescent="0.2">
      <c r="A328" s="39"/>
      <c r="B328" s="39"/>
      <c r="C328" s="43"/>
      <c r="D328" s="43"/>
      <c r="E328" s="43"/>
      <c r="F328" s="132"/>
      <c r="G328" s="41" t="e">
        <f>VLOOKUP(F328,Pcode!A:B,2,FALSE)</f>
        <v>#N/A</v>
      </c>
      <c r="H328" s="41"/>
      <c r="I328" s="41" t="e">
        <f>VLOOKUP(H328,Pcode!C:D,2,FALSE)</f>
        <v>#N/A</v>
      </c>
      <c r="J328" s="41"/>
      <c r="K328" s="160"/>
      <c r="L328" s="160"/>
      <c r="M328" s="46"/>
      <c r="N328" s="136"/>
      <c r="O328" s="136"/>
      <c r="P328" s="136"/>
      <c r="Q328" s="136"/>
      <c r="R328" s="136"/>
      <c r="S328" s="136"/>
      <c r="T328" s="136"/>
      <c r="U328" s="136"/>
      <c r="V328" s="136"/>
      <c r="W328" s="136"/>
      <c r="X328" s="136"/>
      <c r="Y328" s="136"/>
      <c r="Z328" s="136"/>
      <c r="AA328" s="231"/>
    </row>
    <row r="329" spans="1:27" x14ac:dyDescent="0.2">
      <c r="A329" s="39"/>
      <c r="B329" s="39"/>
      <c r="C329" s="43"/>
      <c r="D329" s="43"/>
      <c r="E329" s="43"/>
      <c r="F329" s="132"/>
      <c r="G329" s="41" t="e">
        <f>VLOOKUP(F329,Pcode!A:B,2,FALSE)</f>
        <v>#N/A</v>
      </c>
      <c r="H329" s="41"/>
      <c r="I329" s="41" t="e">
        <f>VLOOKUP(H329,Pcode!C:D,2,FALSE)</f>
        <v>#N/A</v>
      </c>
      <c r="J329" s="41"/>
      <c r="K329" s="160"/>
      <c r="L329" s="160"/>
      <c r="M329" s="46"/>
      <c r="N329" s="136"/>
      <c r="O329" s="136"/>
      <c r="P329" s="136"/>
      <c r="Q329" s="136"/>
      <c r="R329" s="136"/>
      <c r="S329" s="136"/>
      <c r="T329" s="136"/>
      <c r="U329" s="136"/>
      <c r="V329" s="136"/>
      <c r="W329" s="136"/>
      <c r="X329" s="136"/>
      <c r="Y329" s="136"/>
      <c r="Z329" s="136"/>
      <c r="AA329" s="231"/>
    </row>
    <row r="330" spans="1:27" x14ac:dyDescent="0.2">
      <c r="A330" s="39"/>
      <c r="B330" s="39"/>
      <c r="C330" s="43"/>
      <c r="D330" s="43"/>
      <c r="E330" s="43"/>
      <c r="F330" s="132"/>
      <c r="G330" s="41" t="e">
        <f>VLOOKUP(F330,Pcode!A:B,2,FALSE)</f>
        <v>#N/A</v>
      </c>
      <c r="H330" s="41"/>
      <c r="I330" s="41" t="e">
        <f>VLOOKUP(H330,Pcode!C:D,2,FALSE)</f>
        <v>#N/A</v>
      </c>
      <c r="J330" s="41"/>
      <c r="K330" s="160"/>
      <c r="L330" s="160"/>
      <c r="M330" s="46"/>
      <c r="N330" s="136"/>
      <c r="O330" s="136"/>
      <c r="P330" s="136"/>
      <c r="Q330" s="136"/>
      <c r="R330" s="136"/>
      <c r="S330" s="136"/>
      <c r="T330" s="136"/>
      <c r="U330" s="136"/>
      <c r="V330" s="136"/>
      <c r="W330" s="136"/>
      <c r="X330" s="136"/>
      <c r="Y330" s="136"/>
      <c r="Z330" s="136"/>
      <c r="AA330" s="231"/>
    </row>
    <row r="331" spans="1:27" x14ac:dyDescent="0.2">
      <c r="A331" s="39"/>
      <c r="B331" s="39"/>
      <c r="C331" s="43"/>
      <c r="D331" s="43"/>
      <c r="E331" s="43"/>
      <c r="F331" s="132"/>
      <c r="G331" s="41" t="e">
        <f>VLOOKUP(F331,Pcode!A:B,2,FALSE)</f>
        <v>#N/A</v>
      </c>
      <c r="H331" s="41"/>
      <c r="I331" s="41" t="e">
        <f>VLOOKUP(H331,Pcode!C:D,2,FALSE)</f>
        <v>#N/A</v>
      </c>
      <c r="J331" s="41"/>
      <c r="K331" s="160"/>
      <c r="L331" s="160"/>
      <c r="M331" s="46"/>
      <c r="N331" s="136"/>
      <c r="O331" s="136"/>
      <c r="P331" s="136"/>
      <c r="Q331" s="136"/>
      <c r="R331" s="136"/>
      <c r="S331" s="136"/>
      <c r="T331" s="136"/>
      <c r="U331" s="136"/>
      <c r="V331" s="136"/>
      <c r="W331" s="136"/>
      <c r="X331" s="136"/>
      <c r="Y331" s="136"/>
      <c r="Z331" s="136"/>
      <c r="AA331" s="231"/>
    </row>
    <row r="332" spans="1:27" x14ac:dyDescent="0.2">
      <c r="A332" s="39"/>
      <c r="B332" s="39"/>
      <c r="C332" s="43"/>
      <c r="D332" s="43"/>
      <c r="E332" s="43"/>
      <c r="F332" s="132"/>
      <c r="G332" s="41" t="e">
        <f>VLOOKUP(F332,Pcode!A:B,2,FALSE)</f>
        <v>#N/A</v>
      </c>
      <c r="H332" s="41"/>
      <c r="I332" s="41" t="e">
        <f>VLOOKUP(H332,Pcode!C:D,2,FALSE)</f>
        <v>#N/A</v>
      </c>
      <c r="J332" s="41"/>
      <c r="K332" s="160"/>
      <c r="L332" s="160"/>
      <c r="M332" s="46"/>
      <c r="N332" s="136"/>
      <c r="O332" s="136"/>
      <c r="P332" s="136"/>
      <c r="Q332" s="136"/>
      <c r="R332" s="136"/>
      <c r="S332" s="136"/>
      <c r="T332" s="136"/>
      <c r="U332" s="136"/>
      <c r="V332" s="136"/>
      <c r="W332" s="136"/>
      <c r="X332" s="136"/>
      <c r="Y332" s="136"/>
      <c r="Z332" s="136"/>
      <c r="AA332" s="231"/>
    </row>
    <row r="333" spans="1:27" x14ac:dyDescent="0.2">
      <c r="A333" s="39"/>
      <c r="B333" s="39"/>
      <c r="C333" s="43"/>
      <c r="D333" s="43"/>
      <c r="E333" s="43"/>
      <c r="F333" s="132"/>
      <c r="G333" s="41" t="e">
        <f>VLOOKUP(F333,Pcode!A:B,2,FALSE)</f>
        <v>#N/A</v>
      </c>
      <c r="H333" s="41"/>
      <c r="I333" s="41" t="e">
        <f>VLOOKUP(H333,Pcode!C:D,2,FALSE)</f>
        <v>#N/A</v>
      </c>
      <c r="J333" s="41"/>
      <c r="K333" s="160"/>
      <c r="L333" s="160"/>
      <c r="M333" s="46"/>
      <c r="N333" s="136"/>
      <c r="O333" s="136"/>
      <c r="P333" s="136"/>
      <c r="Q333" s="136"/>
      <c r="R333" s="136"/>
      <c r="S333" s="136"/>
      <c r="T333" s="136"/>
      <c r="U333" s="136"/>
      <c r="V333" s="136"/>
      <c r="W333" s="136"/>
      <c r="X333" s="136"/>
      <c r="Y333" s="136"/>
      <c r="Z333" s="136"/>
      <c r="AA333" s="231"/>
    </row>
    <row r="334" spans="1:27" x14ac:dyDescent="0.2">
      <c r="A334" s="39"/>
      <c r="B334" s="39"/>
      <c r="C334" s="43"/>
      <c r="D334" s="43"/>
      <c r="E334" s="43"/>
      <c r="F334" s="132"/>
      <c r="G334" s="41" t="e">
        <f>VLOOKUP(F334,Pcode!A:B,2,FALSE)</f>
        <v>#N/A</v>
      </c>
      <c r="H334" s="41"/>
      <c r="I334" s="41" t="e">
        <f>VLOOKUP(H334,Pcode!C:D,2,FALSE)</f>
        <v>#N/A</v>
      </c>
      <c r="J334" s="41"/>
      <c r="K334" s="160"/>
      <c r="L334" s="160"/>
      <c r="M334" s="46"/>
      <c r="N334" s="136"/>
      <c r="O334" s="136"/>
      <c r="P334" s="136"/>
      <c r="Q334" s="136"/>
      <c r="R334" s="136"/>
      <c r="S334" s="136"/>
      <c r="T334" s="136"/>
      <c r="U334" s="136"/>
      <c r="V334" s="136"/>
      <c r="W334" s="136"/>
      <c r="X334" s="136"/>
      <c r="Y334" s="136"/>
      <c r="Z334" s="136"/>
      <c r="AA334" s="231"/>
    </row>
    <row r="335" spans="1:27" x14ac:dyDescent="0.2">
      <c r="A335" s="39"/>
      <c r="B335" s="39"/>
      <c r="C335" s="43"/>
      <c r="D335" s="43"/>
      <c r="E335" s="43"/>
      <c r="F335" s="132"/>
      <c r="G335" s="41" t="e">
        <f>VLOOKUP(F335,Pcode!A:B,2,FALSE)</f>
        <v>#N/A</v>
      </c>
      <c r="H335" s="41"/>
      <c r="I335" s="41" t="e">
        <f>VLOOKUP(H335,Pcode!C:D,2,FALSE)</f>
        <v>#N/A</v>
      </c>
      <c r="J335" s="41"/>
      <c r="K335" s="160"/>
      <c r="L335" s="160"/>
      <c r="M335" s="46"/>
      <c r="N335" s="136"/>
      <c r="O335" s="136"/>
      <c r="P335" s="136"/>
      <c r="Q335" s="136"/>
      <c r="R335" s="136"/>
      <c r="S335" s="136"/>
      <c r="T335" s="136"/>
      <c r="U335" s="136"/>
      <c r="V335" s="136"/>
      <c r="W335" s="136"/>
      <c r="X335" s="136"/>
      <c r="Y335" s="136"/>
      <c r="Z335" s="136"/>
      <c r="AA335" s="231"/>
    </row>
    <row r="336" spans="1:27" x14ac:dyDescent="0.2">
      <c r="A336" s="39"/>
      <c r="B336" s="39"/>
      <c r="C336" s="43"/>
      <c r="D336" s="43"/>
      <c r="E336" s="43"/>
      <c r="F336" s="132"/>
      <c r="G336" s="41" t="e">
        <f>VLOOKUP(F336,Pcode!A:B,2,FALSE)</f>
        <v>#N/A</v>
      </c>
      <c r="H336" s="41"/>
      <c r="I336" s="41" t="e">
        <f>VLOOKUP(H336,Pcode!C:D,2,FALSE)</f>
        <v>#N/A</v>
      </c>
      <c r="J336" s="41"/>
      <c r="K336" s="160"/>
      <c r="L336" s="160"/>
      <c r="M336" s="46"/>
      <c r="N336" s="136"/>
      <c r="O336" s="136"/>
      <c r="P336" s="136"/>
      <c r="Q336" s="136"/>
      <c r="R336" s="136"/>
      <c r="S336" s="136"/>
      <c r="T336" s="136"/>
      <c r="U336" s="136"/>
      <c r="V336" s="136"/>
      <c r="W336" s="136"/>
      <c r="X336" s="136"/>
      <c r="Y336" s="136"/>
      <c r="Z336" s="136"/>
      <c r="AA336" s="231"/>
    </row>
    <row r="337" spans="1:27" x14ac:dyDescent="0.2">
      <c r="A337" s="39"/>
      <c r="B337" s="39"/>
      <c r="C337" s="43"/>
      <c r="D337" s="43"/>
      <c r="E337" s="43"/>
      <c r="F337" s="132"/>
      <c r="G337" s="41" t="e">
        <f>VLOOKUP(F337,Pcode!A:B,2,FALSE)</f>
        <v>#N/A</v>
      </c>
      <c r="H337" s="41"/>
      <c r="I337" s="41" t="e">
        <f>VLOOKUP(H337,Pcode!C:D,2,FALSE)</f>
        <v>#N/A</v>
      </c>
      <c r="J337" s="41"/>
      <c r="K337" s="160"/>
      <c r="L337" s="160"/>
      <c r="M337" s="46"/>
      <c r="N337" s="136"/>
      <c r="O337" s="136"/>
      <c r="P337" s="136"/>
      <c r="Q337" s="136"/>
      <c r="R337" s="136"/>
      <c r="S337" s="136"/>
      <c r="T337" s="136"/>
      <c r="U337" s="136"/>
      <c r="V337" s="136"/>
      <c r="W337" s="136"/>
      <c r="X337" s="136"/>
      <c r="Y337" s="136"/>
      <c r="Z337" s="136"/>
      <c r="AA337" s="231"/>
    </row>
    <row r="338" spans="1:27" x14ac:dyDescent="0.2">
      <c r="A338" s="39"/>
      <c r="B338" s="39"/>
      <c r="C338" s="43"/>
      <c r="D338" s="43"/>
      <c r="E338" s="43"/>
      <c r="F338" s="132"/>
      <c r="G338" s="41" t="e">
        <f>VLOOKUP(F338,Pcode!A:B,2,FALSE)</f>
        <v>#N/A</v>
      </c>
      <c r="H338" s="41"/>
      <c r="I338" s="41" t="e">
        <f>VLOOKUP(H338,Pcode!C:D,2,FALSE)</f>
        <v>#N/A</v>
      </c>
      <c r="J338" s="41"/>
      <c r="K338" s="160"/>
      <c r="L338" s="160"/>
      <c r="M338" s="46"/>
      <c r="N338" s="136"/>
      <c r="O338" s="136"/>
      <c r="P338" s="136"/>
      <c r="Q338" s="136"/>
      <c r="R338" s="136"/>
      <c r="S338" s="136"/>
      <c r="T338" s="136"/>
      <c r="U338" s="136"/>
      <c r="V338" s="136"/>
      <c r="W338" s="136"/>
      <c r="X338" s="136"/>
      <c r="Y338" s="136"/>
      <c r="Z338" s="136"/>
      <c r="AA338" s="231"/>
    </row>
    <row r="339" spans="1:27" x14ac:dyDescent="0.2">
      <c r="A339" s="39"/>
      <c r="B339" s="39"/>
      <c r="C339" s="43"/>
      <c r="D339" s="43"/>
      <c r="E339" s="43"/>
      <c r="F339" s="132"/>
      <c r="G339" s="41" t="e">
        <f>VLOOKUP(F339,Pcode!A:B,2,FALSE)</f>
        <v>#N/A</v>
      </c>
      <c r="H339" s="41"/>
      <c r="I339" s="41" t="e">
        <f>VLOOKUP(H339,Pcode!C:D,2,FALSE)</f>
        <v>#N/A</v>
      </c>
      <c r="J339" s="41"/>
      <c r="K339" s="160"/>
      <c r="L339" s="160"/>
      <c r="M339" s="46"/>
      <c r="N339" s="136"/>
      <c r="O339" s="136"/>
      <c r="P339" s="136"/>
      <c r="Q339" s="136"/>
      <c r="R339" s="136"/>
      <c r="S339" s="136"/>
      <c r="T339" s="136"/>
      <c r="U339" s="136"/>
      <c r="V339" s="136"/>
      <c r="W339" s="136"/>
      <c r="X339" s="136"/>
      <c r="Y339" s="136"/>
      <c r="Z339" s="136"/>
      <c r="AA339" s="231"/>
    </row>
    <row r="340" spans="1:27" x14ac:dyDescent="0.2">
      <c r="A340" s="39"/>
      <c r="B340" s="39"/>
      <c r="C340" s="43"/>
      <c r="D340" s="43"/>
      <c r="E340" s="43"/>
      <c r="F340" s="132"/>
      <c r="G340" s="41" t="e">
        <f>VLOOKUP(F340,Pcode!A:B,2,FALSE)</f>
        <v>#N/A</v>
      </c>
      <c r="H340" s="41"/>
      <c r="I340" s="41" t="e">
        <f>VLOOKUP(H340,Pcode!C:D,2,FALSE)</f>
        <v>#N/A</v>
      </c>
      <c r="J340" s="41"/>
      <c r="K340" s="160"/>
      <c r="L340" s="160"/>
      <c r="M340" s="46"/>
      <c r="N340" s="136"/>
      <c r="O340" s="136"/>
      <c r="P340" s="136"/>
      <c r="Q340" s="136"/>
      <c r="R340" s="136"/>
      <c r="S340" s="136"/>
      <c r="T340" s="136"/>
      <c r="U340" s="136"/>
      <c r="V340" s="136"/>
      <c r="W340" s="136"/>
      <c r="X340" s="136"/>
      <c r="Y340" s="136"/>
      <c r="Z340" s="136"/>
      <c r="AA340" s="231"/>
    </row>
    <row r="341" spans="1:27" x14ac:dyDescent="0.2">
      <c r="A341" s="39"/>
      <c r="B341" s="39"/>
      <c r="C341" s="43"/>
      <c r="D341" s="43"/>
      <c r="E341" s="43"/>
      <c r="F341" s="132"/>
      <c r="G341" s="41" t="e">
        <f>VLOOKUP(F341,Pcode!A:B,2,FALSE)</f>
        <v>#N/A</v>
      </c>
      <c r="H341" s="41"/>
      <c r="I341" s="41" t="e">
        <f>VLOOKUP(H341,Pcode!C:D,2,FALSE)</f>
        <v>#N/A</v>
      </c>
      <c r="J341" s="41"/>
      <c r="K341" s="160"/>
      <c r="L341" s="160"/>
      <c r="M341" s="46"/>
      <c r="N341" s="136"/>
      <c r="O341" s="136"/>
      <c r="P341" s="136"/>
      <c r="Q341" s="136"/>
      <c r="R341" s="136"/>
      <c r="S341" s="136"/>
      <c r="T341" s="136"/>
      <c r="U341" s="136"/>
      <c r="V341" s="136"/>
      <c r="W341" s="136"/>
      <c r="X341" s="136"/>
      <c r="Y341" s="136"/>
      <c r="Z341" s="136"/>
      <c r="AA341" s="231"/>
    </row>
    <row r="342" spans="1:27" x14ac:dyDescent="0.2">
      <c r="A342" s="39"/>
      <c r="B342" s="39"/>
      <c r="C342" s="43"/>
      <c r="D342" s="43"/>
      <c r="E342" s="43"/>
      <c r="F342" s="132"/>
      <c r="G342" s="41" t="e">
        <f>VLOOKUP(F342,Pcode!A:B,2,FALSE)</f>
        <v>#N/A</v>
      </c>
      <c r="H342" s="41"/>
      <c r="I342" s="41" t="e">
        <f>VLOOKUP(H342,Pcode!C:D,2,FALSE)</f>
        <v>#N/A</v>
      </c>
      <c r="J342" s="41"/>
      <c r="K342" s="160"/>
      <c r="L342" s="160"/>
      <c r="M342" s="46"/>
      <c r="N342" s="136"/>
      <c r="O342" s="136"/>
      <c r="P342" s="136"/>
      <c r="Q342" s="136"/>
      <c r="R342" s="136"/>
      <c r="S342" s="136"/>
      <c r="T342" s="136"/>
      <c r="U342" s="136"/>
      <c r="V342" s="136"/>
      <c r="W342" s="136"/>
      <c r="X342" s="136"/>
      <c r="Y342" s="136"/>
      <c r="Z342" s="136"/>
      <c r="AA342" s="231"/>
    </row>
    <row r="343" spans="1:27" x14ac:dyDescent="0.2">
      <c r="A343" s="39"/>
      <c r="B343" s="39"/>
      <c r="C343" s="43"/>
      <c r="D343" s="43"/>
      <c r="E343" s="43"/>
      <c r="F343" s="132"/>
      <c r="G343" s="41" t="e">
        <f>VLOOKUP(F343,Pcode!A:B,2,FALSE)</f>
        <v>#N/A</v>
      </c>
      <c r="H343" s="41"/>
      <c r="I343" s="41" t="e">
        <f>VLOOKUP(H343,Pcode!C:D,2,FALSE)</f>
        <v>#N/A</v>
      </c>
      <c r="J343" s="41"/>
      <c r="K343" s="160"/>
      <c r="L343" s="160"/>
      <c r="M343" s="46"/>
      <c r="N343" s="136"/>
      <c r="O343" s="136"/>
      <c r="P343" s="136"/>
      <c r="Q343" s="136"/>
      <c r="R343" s="136"/>
      <c r="S343" s="136"/>
      <c r="T343" s="136"/>
      <c r="U343" s="136"/>
      <c r="V343" s="136"/>
      <c r="W343" s="136"/>
      <c r="X343" s="136"/>
      <c r="Y343" s="136"/>
      <c r="Z343" s="136"/>
      <c r="AA343" s="231"/>
    </row>
    <row r="344" spans="1:27" x14ac:dyDescent="0.2">
      <c r="A344" s="39"/>
      <c r="B344" s="39"/>
      <c r="C344" s="43"/>
      <c r="D344" s="43"/>
      <c r="E344" s="43"/>
      <c r="F344" s="132"/>
      <c r="G344" s="41" t="e">
        <f>VLOOKUP(F344,Pcode!A:B,2,FALSE)</f>
        <v>#N/A</v>
      </c>
      <c r="H344" s="41"/>
      <c r="I344" s="41" t="e">
        <f>VLOOKUP(H344,Pcode!C:D,2,FALSE)</f>
        <v>#N/A</v>
      </c>
      <c r="J344" s="41"/>
      <c r="K344" s="160"/>
      <c r="L344" s="160"/>
      <c r="M344" s="46"/>
      <c r="N344" s="136"/>
      <c r="O344" s="136"/>
      <c r="P344" s="136"/>
      <c r="Q344" s="136"/>
      <c r="R344" s="136"/>
      <c r="S344" s="136"/>
      <c r="T344" s="136"/>
      <c r="U344" s="136"/>
      <c r="V344" s="136"/>
      <c r="W344" s="136"/>
      <c r="X344" s="136"/>
      <c r="Y344" s="136"/>
      <c r="Z344" s="136"/>
      <c r="AA344" s="231"/>
    </row>
    <row r="345" spans="1:27" x14ac:dyDescent="0.2">
      <c r="A345" s="39"/>
      <c r="B345" s="39"/>
      <c r="C345" s="43"/>
      <c r="D345" s="43"/>
      <c r="E345" s="43"/>
      <c r="F345" s="132"/>
      <c r="G345" s="41" t="e">
        <f>VLOOKUP(F345,Pcode!A:B,2,FALSE)</f>
        <v>#N/A</v>
      </c>
      <c r="H345" s="41"/>
      <c r="I345" s="41" t="e">
        <f>VLOOKUP(H345,Pcode!C:D,2,FALSE)</f>
        <v>#N/A</v>
      </c>
      <c r="J345" s="41"/>
      <c r="K345" s="160"/>
      <c r="L345" s="160"/>
      <c r="M345" s="46"/>
      <c r="N345" s="136"/>
      <c r="O345" s="136"/>
      <c r="P345" s="136"/>
      <c r="Q345" s="136"/>
      <c r="R345" s="136"/>
      <c r="S345" s="136"/>
      <c r="T345" s="136"/>
      <c r="U345" s="136"/>
      <c r="V345" s="136"/>
      <c r="W345" s="136"/>
      <c r="X345" s="136"/>
      <c r="Y345" s="136"/>
      <c r="Z345" s="136"/>
      <c r="AA345" s="231"/>
    </row>
    <row r="346" spans="1:27" x14ac:dyDescent="0.2">
      <c r="A346" s="39"/>
      <c r="B346" s="39"/>
      <c r="C346" s="43"/>
      <c r="D346" s="43"/>
      <c r="E346" s="43"/>
      <c r="F346" s="132"/>
      <c r="G346" s="41" t="e">
        <f>VLOOKUP(F346,Pcode!A:B,2,FALSE)</f>
        <v>#N/A</v>
      </c>
      <c r="H346" s="41"/>
      <c r="I346" s="41" t="e">
        <f>VLOOKUP(H346,Pcode!C:D,2,FALSE)</f>
        <v>#N/A</v>
      </c>
      <c r="J346" s="41"/>
      <c r="K346" s="160"/>
      <c r="L346" s="160"/>
      <c r="M346" s="46"/>
      <c r="N346" s="136"/>
      <c r="O346" s="136"/>
      <c r="P346" s="136"/>
      <c r="Q346" s="136"/>
      <c r="R346" s="136"/>
      <c r="S346" s="136"/>
      <c r="T346" s="136"/>
      <c r="U346" s="136"/>
      <c r="V346" s="136"/>
      <c r="W346" s="136"/>
      <c r="X346" s="136"/>
      <c r="Y346" s="136"/>
      <c r="Z346" s="136"/>
      <c r="AA346" s="231"/>
    </row>
    <row r="347" spans="1:27" x14ac:dyDescent="0.2">
      <c r="A347" s="39"/>
      <c r="B347" s="39"/>
      <c r="C347" s="43"/>
      <c r="D347" s="43"/>
      <c r="E347" s="43"/>
      <c r="F347" s="132"/>
      <c r="G347" s="41" t="e">
        <f>VLOOKUP(F347,Pcode!A:B,2,FALSE)</f>
        <v>#N/A</v>
      </c>
      <c r="H347" s="41"/>
      <c r="I347" s="41" t="e">
        <f>VLOOKUP(H347,Pcode!C:D,2,FALSE)</f>
        <v>#N/A</v>
      </c>
      <c r="J347" s="41"/>
      <c r="K347" s="160"/>
      <c r="L347" s="160"/>
      <c r="M347" s="46"/>
      <c r="N347" s="136"/>
      <c r="O347" s="136"/>
      <c r="P347" s="136"/>
      <c r="Q347" s="136"/>
      <c r="R347" s="136"/>
      <c r="S347" s="136"/>
      <c r="T347" s="136"/>
      <c r="U347" s="136"/>
      <c r="V347" s="136"/>
      <c r="W347" s="136"/>
      <c r="X347" s="136"/>
      <c r="Y347" s="136"/>
      <c r="Z347" s="136"/>
      <c r="AA347" s="231"/>
    </row>
    <row r="348" spans="1:27" x14ac:dyDescent="0.2">
      <c r="A348" s="39"/>
      <c r="B348" s="39"/>
      <c r="C348" s="43"/>
      <c r="D348" s="43"/>
      <c r="E348" s="43"/>
      <c r="F348" s="132"/>
      <c r="G348" s="41" t="e">
        <f>VLOOKUP(F348,Pcode!A:B,2,FALSE)</f>
        <v>#N/A</v>
      </c>
      <c r="H348" s="41"/>
      <c r="I348" s="41" t="e">
        <f>VLOOKUP(H348,Pcode!C:D,2,FALSE)</f>
        <v>#N/A</v>
      </c>
      <c r="J348" s="41"/>
      <c r="K348" s="160"/>
      <c r="L348" s="160"/>
      <c r="M348" s="46"/>
      <c r="N348" s="136"/>
      <c r="O348" s="136"/>
      <c r="P348" s="136"/>
      <c r="Q348" s="136"/>
      <c r="R348" s="136"/>
      <c r="S348" s="136"/>
      <c r="T348" s="136"/>
      <c r="U348" s="136"/>
      <c r="V348" s="136"/>
      <c r="W348" s="136"/>
      <c r="X348" s="136"/>
      <c r="Y348" s="136"/>
      <c r="Z348" s="136"/>
      <c r="AA348" s="231"/>
    </row>
    <row r="349" spans="1:27" x14ac:dyDescent="0.2">
      <c r="A349" s="39"/>
      <c r="B349" s="39"/>
      <c r="C349" s="43"/>
      <c r="D349" s="43"/>
      <c r="E349" s="43"/>
      <c r="F349" s="132"/>
      <c r="G349" s="41" t="e">
        <f>VLOOKUP(F349,Pcode!A:B,2,FALSE)</f>
        <v>#N/A</v>
      </c>
      <c r="H349" s="41"/>
      <c r="I349" s="41" t="e">
        <f>VLOOKUP(H349,Pcode!C:D,2,FALSE)</f>
        <v>#N/A</v>
      </c>
      <c r="J349" s="41"/>
      <c r="K349" s="160"/>
      <c r="L349" s="160"/>
      <c r="M349" s="46"/>
      <c r="N349" s="136"/>
      <c r="O349" s="136"/>
      <c r="P349" s="136"/>
      <c r="Q349" s="136"/>
      <c r="R349" s="136"/>
      <c r="S349" s="136"/>
      <c r="T349" s="136"/>
      <c r="U349" s="136"/>
      <c r="V349" s="136"/>
      <c r="W349" s="136"/>
      <c r="X349" s="136"/>
      <c r="Y349" s="136"/>
      <c r="Z349" s="136"/>
      <c r="AA349" s="231"/>
    </row>
    <row r="350" spans="1:27" x14ac:dyDescent="0.2">
      <c r="A350" s="39"/>
      <c r="B350" s="39"/>
      <c r="C350" s="43"/>
      <c r="D350" s="43"/>
      <c r="E350" s="43"/>
      <c r="F350" s="132"/>
      <c r="G350" s="41" t="e">
        <f>VLOOKUP(F350,Pcode!A:B,2,FALSE)</f>
        <v>#N/A</v>
      </c>
      <c r="H350" s="41"/>
      <c r="I350" s="41" t="e">
        <f>VLOOKUP(H350,Pcode!C:D,2,FALSE)</f>
        <v>#N/A</v>
      </c>
      <c r="J350" s="41"/>
      <c r="K350" s="160"/>
      <c r="L350" s="160"/>
      <c r="M350" s="46"/>
      <c r="N350" s="136"/>
      <c r="O350" s="136"/>
      <c r="P350" s="136"/>
      <c r="Q350" s="136"/>
      <c r="R350" s="136"/>
      <c r="S350" s="136"/>
      <c r="T350" s="136"/>
      <c r="U350" s="136"/>
      <c r="V350" s="136"/>
      <c r="W350" s="136"/>
      <c r="X350" s="136"/>
      <c r="Y350" s="136"/>
      <c r="Z350" s="136"/>
      <c r="AA350" s="231"/>
    </row>
    <row r="351" spans="1:27" x14ac:dyDescent="0.2">
      <c r="A351" s="39"/>
      <c r="B351" s="39"/>
      <c r="C351" s="43"/>
      <c r="D351" s="43"/>
      <c r="E351" s="43"/>
      <c r="F351" s="132"/>
      <c r="G351" s="41" t="e">
        <f>VLOOKUP(F351,Pcode!A:B,2,FALSE)</f>
        <v>#N/A</v>
      </c>
      <c r="H351" s="41"/>
      <c r="I351" s="41" t="e">
        <f>VLOOKUP(H351,Pcode!C:D,2,FALSE)</f>
        <v>#N/A</v>
      </c>
      <c r="J351" s="41"/>
      <c r="K351" s="160"/>
      <c r="L351" s="160"/>
      <c r="M351" s="46"/>
      <c r="N351" s="136"/>
      <c r="O351" s="136"/>
      <c r="P351" s="136"/>
      <c r="Q351" s="136"/>
      <c r="R351" s="136"/>
      <c r="S351" s="136"/>
      <c r="T351" s="136"/>
      <c r="U351" s="136"/>
      <c r="V351" s="136"/>
      <c r="W351" s="136"/>
      <c r="X351" s="136"/>
      <c r="Y351" s="136"/>
      <c r="Z351" s="136"/>
      <c r="AA351" s="231"/>
    </row>
    <row r="352" spans="1:27" x14ac:dyDescent="0.2">
      <c r="A352" s="39"/>
      <c r="B352" s="39"/>
      <c r="C352" s="43"/>
      <c r="D352" s="43"/>
      <c r="E352" s="43"/>
      <c r="F352" s="132"/>
      <c r="G352" s="41" t="e">
        <f>VLOOKUP(F352,Pcode!A:B,2,FALSE)</f>
        <v>#N/A</v>
      </c>
      <c r="H352" s="41"/>
      <c r="I352" s="41" t="e">
        <f>VLOOKUP(H352,Pcode!C:D,2,FALSE)</f>
        <v>#N/A</v>
      </c>
      <c r="J352" s="41"/>
      <c r="K352" s="160"/>
      <c r="L352" s="160"/>
      <c r="M352" s="46"/>
      <c r="N352" s="136"/>
      <c r="O352" s="136"/>
      <c r="P352" s="136"/>
      <c r="Q352" s="136"/>
      <c r="R352" s="136"/>
      <c r="S352" s="136"/>
      <c r="T352" s="136"/>
      <c r="U352" s="136"/>
      <c r="V352" s="136"/>
      <c r="W352" s="136"/>
      <c r="X352" s="136"/>
      <c r="Y352" s="136"/>
      <c r="Z352" s="136"/>
      <c r="AA352" s="231"/>
    </row>
    <row r="353" spans="1:27" x14ac:dyDescent="0.2">
      <c r="A353" s="39"/>
      <c r="B353" s="39"/>
      <c r="C353" s="43"/>
      <c r="D353" s="43"/>
      <c r="E353" s="43"/>
      <c r="F353" s="132"/>
      <c r="G353" s="41" t="e">
        <f>VLOOKUP(F353,Pcode!A:B,2,FALSE)</f>
        <v>#N/A</v>
      </c>
      <c r="H353" s="41"/>
      <c r="I353" s="41" t="e">
        <f>VLOOKUP(H353,Pcode!C:D,2,FALSE)</f>
        <v>#N/A</v>
      </c>
      <c r="J353" s="41"/>
      <c r="K353" s="160"/>
      <c r="L353" s="160"/>
      <c r="M353" s="46"/>
      <c r="N353" s="136"/>
      <c r="O353" s="136"/>
      <c r="P353" s="136"/>
      <c r="Q353" s="136"/>
      <c r="R353" s="136"/>
      <c r="S353" s="136"/>
      <c r="T353" s="136"/>
      <c r="U353" s="136"/>
      <c r="V353" s="136"/>
      <c r="W353" s="136"/>
      <c r="X353" s="136"/>
      <c r="Y353" s="136"/>
      <c r="Z353" s="136"/>
      <c r="AA353" s="231"/>
    </row>
    <row r="354" spans="1:27" x14ac:dyDescent="0.2">
      <c r="A354" s="39"/>
      <c r="B354" s="39"/>
      <c r="C354" s="43"/>
      <c r="D354" s="43"/>
      <c r="E354" s="43"/>
      <c r="F354" s="132"/>
      <c r="G354" s="41" t="e">
        <f>VLOOKUP(F354,Pcode!A:B,2,FALSE)</f>
        <v>#N/A</v>
      </c>
      <c r="H354" s="41"/>
      <c r="I354" s="41" t="e">
        <f>VLOOKUP(H354,Pcode!C:D,2,FALSE)</f>
        <v>#N/A</v>
      </c>
      <c r="J354" s="41"/>
      <c r="K354" s="160"/>
      <c r="L354" s="160"/>
      <c r="M354" s="46"/>
      <c r="N354" s="136"/>
      <c r="O354" s="136"/>
      <c r="P354" s="136"/>
      <c r="Q354" s="136"/>
      <c r="R354" s="136"/>
      <c r="S354" s="136"/>
      <c r="T354" s="136"/>
      <c r="U354" s="136"/>
      <c r="V354" s="136"/>
      <c r="W354" s="136"/>
      <c r="X354" s="136"/>
      <c r="Y354" s="136"/>
      <c r="Z354" s="136"/>
      <c r="AA354" s="231"/>
    </row>
    <row r="355" spans="1:27" x14ac:dyDescent="0.2">
      <c r="A355" s="39"/>
      <c r="B355" s="39"/>
      <c r="C355" s="43"/>
      <c r="D355" s="43"/>
      <c r="E355" s="43"/>
      <c r="F355" s="132"/>
      <c r="G355" s="41" t="e">
        <f>VLOOKUP(F355,Pcode!A:B,2,FALSE)</f>
        <v>#N/A</v>
      </c>
      <c r="H355" s="41"/>
      <c r="I355" s="41" t="e">
        <f>VLOOKUP(H355,Pcode!C:D,2,FALSE)</f>
        <v>#N/A</v>
      </c>
      <c r="J355" s="41"/>
      <c r="K355" s="160"/>
      <c r="L355" s="160"/>
      <c r="M355" s="46"/>
      <c r="N355" s="136"/>
      <c r="O355" s="136"/>
      <c r="P355" s="136"/>
      <c r="Q355" s="136"/>
      <c r="R355" s="136"/>
      <c r="S355" s="136"/>
      <c r="T355" s="136"/>
      <c r="U355" s="136"/>
      <c r="V355" s="136"/>
      <c r="W355" s="136"/>
      <c r="X355" s="136"/>
      <c r="Y355" s="136"/>
      <c r="Z355" s="136"/>
      <c r="AA355" s="231"/>
    </row>
    <row r="356" spans="1:27" x14ac:dyDescent="0.2">
      <c r="A356" s="39"/>
      <c r="B356" s="39"/>
      <c r="C356" s="43"/>
      <c r="D356" s="43"/>
      <c r="E356" s="43"/>
      <c r="F356" s="132"/>
      <c r="G356" s="41" t="e">
        <f>VLOOKUP(F356,Pcode!A:B,2,FALSE)</f>
        <v>#N/A</v>
      </c>
      <c r="H356" s="41"/>
      <c r="I356" s="41" t="e">
        <f>VLOOKUP(H356,Pcode!C:D,2,FALSE)</f>
        <v>#N/A</v>
      </c>
      <c r="J356" s="41"/>
      <c r="K356" s="160"/>
      <c r="L356" s="160"/>
      <c r="M356" s="46"/>
      <c r="N356" s="136"/>
      <c r="O356" s="136"/>
      <c r="P356" s="136"/>
      <c r="Q356" s="136"/>
      <c r="R356" s="136"/>
      <c r="S356" s="136"/>
      <c r="T356" s="136"/>
      <c r="U356" s="136"/>
      <c r="V356" s="136"/>
      <c r="W356" s="136"/>
      <c r="X356" s="136"/>
      <c r="Y356" s="136"/>
      <c r="Z356" s="136"/>
      <c r="AA356" s="231"/>
    </row>
    <row r="357" spans="1:27" x14ac:dyDescent="0.2">
      <c r="A357" s="39"/>
      <c r="B357" s="39"/>
      <c r="C357" s="43"/>
      <c r="D357" s="43"/>
      <c r="E357" s="43"/>
      <c r="F357" s="132"/>
      <c r="G357" s="41" t="e">
        <f>VLOOKUP(F357,Pcode!A:B,2,FALSE)</f>
        <v>#N/A</v>
      </c>
      <c r="H357" s="41"/>
      <c r="I357" s="41" t="e">
        <f>VLOOKUP(H357,Pcode!C:D,2,FALSE)</f>
        <v>#N/A</v>
      </c>
      <c r="J357" s="41"/>
      <c r="K357" s="160"/>
      <c r="L357" s="160"/>
      <c r="M357" s="46"/>
      <c r="N357" s="136"/>
      <c r="O357" s="136"/>
      <c r="P357" s="136"/>
      <c r="Q357" s="136"/>
      <c r="R357" s="136"/>
      <c r="S357" s="136"/>
      <c r="T357" s="136"/>
      <c r="U357" s="136"/>
      <c r="V357" s="136"/>
      <c r="W357" s="136"/>
      <c r="X357" s="136"/>
      <c r="Y357" s="136"/>
      <c r="Z357" s="136"/>
      <c r="AA357" s="231"/>
    </row>
    <row r="358" spans="1:27" x14ac:dyDescent="0.2">
      <c r="A358" s="39"/>
      <c r="B358" s="39"/>
      <c r="C358" s="43"/>
      <c r="D358" s="43"/>
      <c r="E358" s="43"/>
      <c r="F358" s="132"/>
      <c r="G358" s="41" t="e">
        <f>VLOOKUP(F358,Pcode!A:B,2,FALSE)</f>
        <v>#N/A</v>
      </c>
      <c r="H358" s="41"/>
      <c r="I358" s="41" t="e">
        <f>VLOOKUP(H358,Pcode!C:D,2,FALSE)</f>
        <v>#N/A</v>
      </c>
      <c r="J358" s="41"/>
      <c r="K358" s="160"/>
      <c r="L358" s="160"/>
      <c r="M358" s="46"/>
      <c r="N358" s="136"/>
      <c r="O358" s="136"/>
      <c r="P358" s="136"/>
      <c r="Q358" s="136"/>
      <c r="R358" s="136"/>
      <c r="S358" s="136"/>
      <c r="T358" s="136"/>
      <c r="U358" s="136"/>
      <c r="V358" s="136"/>
      <c r="W358" s="136"/>
      <c r="X358" s="136"/>
      <c r="Y358" s="136"/>
      <c r="Z358" s="136"/>
      <c r="AA358" s="231"/>
    </row>
    <row r="359" spans="1:27" x14ac:dyDescent="0.2">
      <c r="A359" s="39"/>
      <c r="B359" s="39"/>
      <c r="C359" s="43"/>
      <c r="D359" s="43"/>
      <c r="E359" s="43"/>
      <c r="F359" s="132"/>
      <c r="G359" s="41" t="e">
        <f>VLOOKUP(F359,Pcode!A:B,2,FALSE)</f>
        <v>#N/A</v>
      </c>
      <c r="H359" s="41"/>
      <c r="I359" s="41" t="e">
        <f>VLOOKUP(H359,Pcode!C:D,2,FALSE)</f>
        <v>#N/A</v>
      </c>
      <c r="J359" s="41"/>
      <c r="K359" s="160"/>
      <c r="L359" s="160"/>
      <c r="M359" s="46"/>
      <c r="N359" s="136"/>
      <c r="O359" s="136"/>
      <c r="P359" s="136"/>
      <c r="Q359" s="136"/>
      <c r="R359" s="136"/>
      <c r="S359" s="136"/>
      <c r="T359" s="136"/>
      <c r="U359" s="136"/>
      <c r="V359" s="136"/>
      <c r="W359" s="136"/>
      <c r="X359" s="136"/>
      <c r="Y359" s="136"/>
      <c r="Z359" s="136"/>
      <c r="AA359" s="231"/>
    </row>
    <row r="360" spans="1:27" x14ac:dyDescent="0.2">
      <c r="A360" s="39"/>
      <c r="B360" s="39"/>
      <c r="C360" s="43"/>
      <c r="D360" s="43"/>
      <c r="E360" s="43"/>
      <c r="F360" s="132"/>
      <c r="G360" s="41" t="e">
        <f>VLOOKUP(F360,Pcode!A:B,2,FALSE)</f>
        <v>#N/A</v>
      </c>
      <c r="H360" s="41"/>
      <c r="I360" s="41" t="e">
        <f>VLOOKUP(H360,Pcode!C:D,2,FALSE)</f>
        <v>#N/A</v>
      </c>
      <c r="J360" s="41"/>
      <c r="K360" s="160"/>
      <c r="L360" s="160"/>
      <c r="M360" s="46"/>
      <c r="N360" s="136"/>
      <c r="O360" s="136"/>
      <c r="P360" s="136"/>
      <c r="Q360" s="136"/>
      <c r="R360" s="136"/>
      <c r="S360" s="136"/>
      <c r="T360" s="136"/>
      <c r="U360" s="136"/>
      <c r="V360" s="136"/>
      <c r="W360" s="136"/>
      <c r="X360" s="136"/>
      <c r="Y360" s="136"/>
      <c r="Z360" s="136"/>
      <c r="AA360" s="231"/>
    </row>
    <row r="361" spans="1:27" x14ac:dyDescent="0.2">
      <c r="A361" s="39"/>
      <c r="B361" s="39"/>
      <c r="C361" s="43"/>
      <c r="D361" s="43"/>
      <c r="E361" s="43"/>
      <c r="F361" s="132"/>
      <c r="G361" s="41" t="e">
        <f>VLOOKUP(F361,Pcode!A:B,2,FALSE)</f>
        <v>#N/A</v>
      </c>
      <c r="H361" s="41"/>
      <c r="I361" s="41" t="e">
        <f>VLOOKUP(H361,Pcode!C:D,2,FALSE)</f>
        <v>#N/A</v>
      </c>
      <c r="J361" s="41"/>
      <c r="K361" s="160"/>
      <c r="L361" s="160"/>
      <c r="M361" s="46"/>
      <c r="N361" s="136"/>
      <c r="O361" s="136"/>
      <c r="P361" s="136"/>
      <c r="Q361" s="136"/>
      <c r="R361" s="136"/>
      <c r="S361" s="136"/>
      <c r="T361" s="136"/>
      <c r="U361" s="136"/>
      <c r="V361" s="136"/>
      <c r="W361" s="136"/>
      <c r="X361" s="136"/>
      <c r="Y361" s="136"/>
      <c r="Z361" s="136"/>
      <c r="AA361" s="231"/>
    </row>
    <row r="362" spans="1:27" x14ac:dyDescent="0.2">
      <c r="A362" s="39"/>
      <c r="B362" s="39"/>
      <c r="C362" s="43"/>
      <c r="D362" s="43"/>
      <c r="E362" s="43"/>
      <c r="F362" s="132"/>
      <c r="G362" s="41" t="e">
        <f>VLOOKUP(F362,Pcode!A:B,2,FALSE)</f>
        <v>#N/A</v>
      </c>
      <c r="H362" s="41"/>
      <c r="I362" s="41" t="e">
        <f>VLOOKUP(H362,Pcode!C:D,2,FALSE)</f>
        <v>#N/A</v>
      </c>
      <c r="J362" s="41"/>
      <c r="K362" s="160"/>
      <c r="L362" s="160"/>
      <c r="M362" s="46"/>
      <c r="N362" s="136"/>
      <c r="O362" s="136"/>
      <c r="P362" s="136"/>
      <c r="Q362" s="136"/>
      <c r="R362" s="136"/>
      <c r="S362" s="136"/>
      <c r="T362" s="136"/>
      <c r="U362" s="136"/>
      <c r="V362" s="136"/>
      <c r="W362" s="136"/>
      <c r="X362" s="136"/>
      <c r="Y362" s="136"/>
      <c r="Z362" s="136"/>
      <c r="AA362" s="231"/>
    </row>
    <row r="363" spans="1:27" x14ac:dyDescent="0.2">
      <c r="A363" s="39"/>
      <c r="B363" s="39"/>
      <c r="C363" s="43"/>
      <c r="D363" s="43"/>
      <c r="E363" s="43"/>
      <c r="F363" s="132"/>
      <c r="G363" s="41" t="e">
        <f>VLOOKUP(F363,Pcode!A:B,2,FALSE)</f>
        <v>#N/A</v>
      </c>
      <c r="H363" s="41"/>
      <c r="I363" s="41" t="e">
        <f>VLOOKUP(H363,Pcode!C:D,2,FALSE)</f>
        <v>#N/A</v>
      </c>
      <c r="J363" s="41"/>
      <c r="K363" s="160"/>
      <c r="L363" s="160"/>
      <c r="M363" s="46"/>
      <c r="N363" s="136"/>
      <c r="O363" s="136"/>
      <c r="P363" s="136"/>
      <c r="Q363" s="136"/>
      <c r="R363" s="136"/>
      <c r="S363" s="136"/>
      <c r="T363" s="136"/>
      <c r="U363" s="136"/>
      <c r="V363" s="136"/>
      <c r="W363" s="136"/>
      <c r="X363" s="136"/>
      <c r="Y363" s="136"/>
      <c r="Z363" s="136"/>
      <c r="AA363" s="231"/>
    </row>
    <row r="364" spans="1:27" x14ac:dyDescent="0.2">
      <c r="A364" s="39"/>
      <c r="B364" s="39"/>
      <c r="C364" s="43"/>
      <c r="D364" s="43"/>
      <c r="E364" s="43"/>
      <c r="F364" s="132"/>
      <c r="G364" s="41" t="e">
        <f>VLOOKUP(F364,Pcode!A:B,2,FALSE)</f>
        <v>#N/A</v>
      </c>
      <c r="H364" s="41"/>
      <c r="I364" s="41" t="e">
        <f>VLOOKUP(H364,Pcode!C:D,2,FALSE)</f>
        <v>#N/A</v>
      </c>
      <c r="J364" s="41"/>
      <c r="K364" s="160"/>
      <c r="L364" s="160"/>
      <c r="M364" s="46"/>
      <c r="N364" s="136"/>
      <c r="O364" s="136"/>
      <c r="P364" s="136"/>
      <c r="Q364" s="136"/>
      <c r="R364" s="136"/>
      <c r="S364" s="136"/>
      <c r="T364" s="136"/>
      <c r="U364" s="136"/>
      <c r="V364" s="136"/>
      <c r="W364" s="136"/>
      <c r="X364" s="136"/>
      <c r="Y364" s="136"/>
      <c r="Z364" s="136"/>
      <c r="AA364" s="231"/>
    </row>
    <row r="365" spans="1:27" x14ac:dyDescent="0.2">
      <c r="A365" s="39"/>
      <c r="B365" s="39"/>
      <c r="C365" s="43"/>
      <c r="D365" s="43"/>
      <c r="E365" s="43"/>
      <c r="F365" s="132"/>
      <c r="G365" s="41" t="e">
        <f>VLOOKUP(F365,Pcode!A:B,2,FALSE)</f>
        <v>#N/A</v>
      </c>
      <c r="H365" s="41"/>
      <c r="I365" s="41" t="e">
        <f>VLOOKUP(H365,Pcode!C:D,2,FALSE)</f>
        <v>#N/A</v>
      </c>
      <c r="J365" s="41"/>
      <c r="K365" s="160"/>
      <c r="L365" s="160"/>
      <c r="M365" s="46"/>
      <c r="N365" s="136"/>
      <c r="O365" s="136"/>
      <c r="P365" s="136"/>
      <c r="Q365" s="136"/>
      <c r="R365" s="136"/>
      <c r="S365" s="136"/>
      <c r="T365" s="136"/>
      <c r="U365" s="136"/>
      <c r="V365" s="136"/>
      <c r="W365" s="136"/>
      <c r="X365" s="136"/>
      <c r="Y365" s="136"/>
      <c r="Z365" s="136"/>
      <c r="AA365" s="231"/>
    </row>
    <row r="366" spans="1:27" x14ac:dyDescent="0.2">
      <c r="A366" s="39"/>
      <c r="B366" s="39"/>
      <c r="C366" s="43"/>
      <c r="D366" s="43"/>
      <c r="E366" s="43"/>
      <c r="F366" s="132"/>
      <c r="G366" s="41" t="e">
        <f>VLOOKUP(F366,Pcode!A:B,2,FALSE)</f>
        <v>#N/A</v>
      </c>
      <c r="H366" s="41"/>
      <c r="I366" s="41" t="e">
        <f>VLOOKUP(H366,Pcode!C:D,2,FALSE)</f>
        <v>#N/A</v>
      </c>
      <c r="J366" s="41"/>
      <c r="K366" s="160"/>
      <c r="L366" s="160"/>
      <c r="M366" s="46"/>
      <c r="N366" s="136"/>
      <c r="O366" s="136"/>
      <c r="P366" s="136"/>
      <c r="Q366" s="136"/>
      <c r="R366" s="136"/>
      <c r="S366" s="136"/>
      <c r="T366" s="136"/>
      <c r="U366" s="136"/>
      <c r="V366" s="136"/>
      <c r="W366" s="136"/>
      <c r="X366" s="136"/>
      <c r="Y366" s="136"/>
      <c r="Z366" s="136"/>
      <c r="AA366" s="231"/>
    </row>
    <row r="367" spans="1:27" x14ac:dyDescent="0.2">
      <c r="A367" s="39"/>
      <c r="B367" s="39"/>
      <c r="C367" s="43"/>
      <c r="D367" s="43"/>
      <c r="E367" s="43"/>
      <c r="F367" s="132"/>
      <c r="G367" s="41" t="e">
        <f>VLOOKUP(F367,Pcode!A:B,2,FALSE)</f>
        <v>#N/A</v>
      </c>
      <c r="H367" s="41"/>
      <c r="I367" s="41" t="e">
        <f>VLOOKUP(H367,Pcode!C:D,2,FALSE)</f>
        <v>#N/A</v>
      </c>
      <c r="J367" s="41"/>
      <c r="K367" s="160"/>
      <c r="L367" s="160"/>
      <c r="M367" s="46"/>
      <c r="N367" s="136"/>
      <c r="O367" s="136"/>
      <c r="P367" s="136"/>
      <c r="Q367" s="136"/>
      <c r="R367" s="136"/>
      <c r="S367" s="136"/>
      <c r="T367" s="136"/>
      <c r="U367" s="136"/>
      <c r="V367" s="136"/>
      <c r="W367" s="136"/>
      <c r="X367" s="136"/>
      <c r="Y367" s="136"/>
      <c r="Z367" s="136"/>
      <c r="AA367" s="231"/>
    </row>
    <row r="368" spans="1:27" x14ac:dyDescent="0.2">
      <c r="A368" s="39"/>
      <c r="B368" s="39"/>
      <c r="C368" s="43"/>
      <c r="D368" s="43"/>
      <c r="E368" s="43"/>
      <c r="F368" s="132"/>
      <c r="G368" s="41" t="e">
        <f>VLOOKUP(F368,Pcode!A:B,2,FALSE)</f>
        <v>#N/A</v>
      </c>
      <c r="H368" s="41"/>
      <c r="I368" s="41" t="e">
        <f>VLOOKUP(H368,Pcode!C:D,2,FALSE)</f>
        <v>#N/A</v>
      </c>
      <c r="J368" s="41"/>
      <c r="K368" s="160"/>
      <c r="L368" s="160"/>
      <c r="M368" s="46"/>
      <c r="N368" s="136"/>
      <c r="O368" s="136"/>
      <c r="P368" s="136"/>
      <c r="Q368" s="136"/>
      <c r="R368" s="136"/>
      <c r="S368" s="136"/>
      <c r="T368" s="136"/>
      <c r="U368" s="136"/>
      <c r="V368" s="136"/>
      <c r="W368" s="136"/>
      <c r="X368" s="136"/>
      <c r="Y368" s="136"/>
      <c r="Z368" s="136"/>
      <c r="AA368" s="231"/>
    </row>
    <row r="369" spans="1:27" x14ac:dyDescent="0.2">
      <c r="A369" s="39"/>
      <c r="B369" s="39"/>
      <c r="C369" s="43"/>
      <c r="D369" s="43"/>
      <c r="E369" s="43"/>
      <c r="F369" s="132"/>
      <c r="G369" s="41" t="e">
        <f>VLOOKUP(F369,Pcode!A:B,2,FALSE)</f>
        <v>#N/A</v>
      </c>
      <c r="H369" s="41"/>
      <c r="I369" s="41" t="e">
        <f>VLOOKUP(H369,Pcode!C:D,2,FALSE)</f>
        <v>#N/A</v>
      </c>
      <c r="J369" s="41"/>
      <c r="K369" s="160"/>
      <c r="L369" s="160"/>
      <c r="M369" s="46"/>
      <c r="N369" s="136"/>
      <c r="O369" s="136"/>
      <c r="P369" s="136"/>
      <c r="Q369" s="136"/>
      <c r="R369" s="136"/>
      <c r="S369" s="136"/>
      <c r="T369" s="136"/>
      <c r="U369" s="136"/>
      <c r="V369" s="136"/>
      <c r="W369" s="136"/>
      <c r="X369" s="136"/>
      <c r="Y369" s="136"/>
      <c r="Z369" s="136"/>
      <c r="AA369" s="231"/>
    </row>
    <row r="370" spans="1:27" x14ac:dyDescent="0.2">
      <c r="A370" s="39"/>
      <c r="B370" s="39"/>
      <c r="C370" s="43"/>
      <c r="D370" s="43"/>
      <c r="E370" s="43"/>
      <c r="F370" s="132"/>
      <c r="G370" s="41" t="e">
        <f>VLOOKUP(F370,Pcode!A:B,2,FALSE)</f>
        <v>#N/A</v>
      </c>
      <c r="H370" s="41"/>
      <c r="I370" s="41" t="e">
        <f>VLOOKUP(H370,Pcode!C:D,2,FALSE)</f>
        <v>#N/A</v>
      </c>
      <c r="J370" s="41"/>
      <c r="K370" s="160"/>
      <c r="L370" s="160"/>
      <c r="M370" s="46"/>
      <c r="N370" s="136"/>
      <c r="O370" s="136"/>
      <c r="P370" s="136"/>
      <c r="Q370" s="136"/>
      <c r="R370" s="136"/>
      <c r="S370" s="136"/>
      <c r="T370" s="136"/>
      <c r="U370" s="136"/>
      <c r="V370" s="136"/>
      <c r="W370" s="136"/>
      <c r="X370" s="136"/>
      <c r="Y370" s="136"/>
      <c r="Z370" s="136"/>
      <c r="AA370" s="231"/>
    </row>
    <row r="371" spans="1:27" x14ac:dyDescent="0.2">
      <c r="A371" s="39"/>
      <c r="B371" s="39"/>
      <c r="C371" s="43"/>
      <c r="D371" s="43"/>
      <c r="E371" s="43"/>
      <c r="F371" s="132"/>
      <c r="G371" s="41" t="e">
        <f>VLOOKUP(F371,Pcode!A:B,2,FALSE)</f>
        <v>#N/A</v>
      </c>
      <c r="H371" s="41"/>
      <c r="I371" s="41" t="e">
        <f>VLOOKUP(H371,Pcode!C:D,2,FALSE)</f>
        <v>#N/A</v>
      </c>
      <c r="J371" s="41"/>
      <c r="K371" s="160"/>
      <c r="L371" s="160"/>
      <c r="M371" s="46"/>
      <c r="N371" s="136"/>
      <c r="O371" s="136"/>
      <c r="P371" s="136"/>
      <c r="Q371" s="136"/>
      <c r="R371" s="136"/>
      <c r="S371" s="136"/>
      <c r="T371" s="136"/>
      <c r="U371" s="136"/>
      <c r="V371" s="136"/>
      <c r="W371" s="136"/>
      <c r="X371" s="136"/>
      <c r="Y371" s="136"/>
      <c r="Z371" s="136"/>
      <c r="AA371" s="231"/>
    </row>
    <row r="372" spans="1:27" x14ac:dyDescent="0.2">
      <c r="A372" s="39"/>
      <c r="B372" s="39"/>
      <c r="C372" s="43"/>
      <c r="D372" s="43"/>
      <c r="E372" s="43"/>
      <c r="F372" s="132"/>
      <c r="G372" s="41" t="e">
        <f>VLOOKUP(F372,Pcode!A:B,2,FALSE)</f>
        <v>#N/A</v>
      </c>
      <c r="H372" s="41"/>
      <c r="I372" s="41" t="e">
        <f>VLOOKUP(H372,Pcode!C:D,2,FALSE)</f>
        <v>#N/A</v>
      </c>
      <c r="J372" s="41"/>
      <c r="K372" s="160"/>
      <c r="L372" s="160"/>
      <c r="M372" s="46"/>
      <c r="N372" s="136"/>
      <c r="O372" s="136"/>
      <c r="P372" s="136"/>
      <c r="Q372" s="136"/>
      <c r="R372" s="136"/>
      <c r="S372" s="136"/>
      <c r="T372" s="136"/>
      <c r="U372" s="136"/>
      <c r="V372" s="136"/>
      <c r="W372" s="136"/>
      <c r="X372" s="136"/>
      <c r="Y372" s="136"/>
      <c r="Z372" s="136"/>
      <c r="AA372" s="231"/>
    </row>
    <row r="373" spans="1:27" x14ac:dyDescent="0.2">
      <c r="A373" s="39"/>
      <c r="B373" s="39"/>
      <c r="C373" s="43"/>
      <c r="D373" s="43"/>
      <c r="E373" s="43"/>
      <c r="F373" s="132"/>
      <c r="G373" s="41" t="e">
        <f>VLOOKUP(F373,Pcode!A:B,2,FALSE)</f>
        <v>#N/A</v>
      </c>
      <c r="H373" s="41"/>
      <c r="I373" s="41" t="e">
        <f>VLOOKUP(H373,Pcode!C:D,2,FALSE)</f>
        <v>#N/A</v>
      </c>
      <c r="J373" s="41"/>
      <c r="K373" s="160"/>
      <c r="L373" s="160"/>
      <c r="M373" s="46"/>
      <c r="N373" s="136"/>
      <c r="O373" s="136"/>
      <c r="P373" s="136"/>
      <c r="Q373" s="136"/>
      <c r="R373" s="136"/>
      <c r="S373" s="136"/>
      <c r="T373" s="136"/>
      <c r="U373" s="136"/>
      <c r="V373" s="136"/>
      <c r="W373" s="136"/>
      <c r="X373" s="136"/>
      <c r="Y373" s="136"/>
      <c r="Z373" s="136"/>
      <c r="AA373" s="231"/>
    </row>
    <row r="374" spans="1:27" x14ac:dyDescent="0.2">
      <c r="A374" s="39"/>
      <c r="B374" s="39"/>
      <c r="C374" s="43"/>
      <c r="D374" s="43"/>
      <c r="E374" s="43"/>
      <c r="F374" s="132"/>
      <c r="G374" s="41" t="e">
        <f>VLOOKUP(F374,Pcode!A:B,2,FALSE)</f>
        <v>#N/A</v>
      </c>
      <c r="H374" s="41"/>
      <c r="I374" s="41" t="e">
        <f>VLOOKUP(H374,Pcode!C:D,2,FALSE)</f>
        <v>#N/A</v>
      </c>
      <c r="J374" s="41"/>
      <c r="K374" s="160"/>
      <c r="L374" s="160"/>
      <c r="M374" s="46"/>
      <c r="N374" s="136"/>
      <c r="O374" s="136"/>
      <c r="P374" s="136"/>
      <c r="Q374" s="136"/>
      <c r="R374" s="136"/>
      <c r="S374" s="136"/>
      <c r="T374" s="136"/>
      <c r="U374" s="136"/>
      <c r="V374" s="136"/>
      <c r="W374" s="136"/>
      <c r="X374" s="136"/>
      <c r="Y374" s="136"/>
      <c r="Z374" s="136"/>
      <c r="AA374" s="231"/>
    </row>
    <row r="375" spans="1:27" x14ac:dyDescent="0.2">
      <c r="A375" s="39"/>
      <c r="B375" s="39"/>
      <c r="C375" s="43"/>
      <c r="D375" s="43"/>
      <c r="E375" s="43"/>
      <c r="F375" s="132"/>
      <c r="G375" s="41" t="e">
        <f>VLOOKUP(F375,Pcode!A:B,2,FALSE)</f>
        <v>#N/A</v>
      </c>
      <c r="H375" s="41"/>
      <c r="I375" s="41" t="e">
        <f>VLOOKUP(H375,Pcode!C:D,2,FALSE)</f>
        <v>#N/A</v>
      </c>
      <c r="J375" s="41"/>
      <c r="K375" s="160"/>
      <c r="L375" s="160"/>
      <c r="M375" s="46"/>
      <c r="N375" s="136"/>
      <c r="O375" s="136"/>
      <c r="P375" s="136"/>
      <c r="Q375" s="136"/>
      <c r="R375" s="136"/>
      <c r="S375" s="136"/>
      <c r="T375" s="136"/>
      <c r="U375" s="136"/>
      <c r="V375" s="136"/>
      <c r="W375" s="136"/>
      <c r="X375" s="136"/>
      <c r="Y375" s="136"/>
      <c r="Z375" s="136"/>
      <c r="AA375" s="231"/>
    </row>
    <row r="376" spans="1:27" x14ac:dyDescent="0.2">
      <c r="A376" s="39"/>
      <c r="B376" s="39"/>
      <c r="C376" s="43"/>
      <c r="D376" s="43"/>
      <c r="E376" s="43"/>
      <c r="F376" s="132"/>
      <c r="G376" s="41" t="e">
        <f>VLOOKUP(F376,Pcode!A:B,2,FALSE)</f>
        <v>#N/A</v>
      </c>
      <c r="H376" s="41"/>
      <c r="I376" s="41" t="e">
        <f>VLOOKUP(H376,Pcode!C:D,2,FALSE)</f>
        <v>#N/A</v>
      </c>
      <c r="J376" s="41"/>
      <c r="K376" s="160"/>
      <c r="L376" s="160"/>
      <c r="M376" s="46"/>
      <c r="N376" s="136"/>
      <c r="O376" s="136"/>
      <c r="P376" s="136"/>
      <c r="Q376" s="136"/>
      <c r="R376" s="136"/>
      <c r="S376" s="136"/>
      <c r="T376" s="136"/>
      <c r="U376" s="136"/>
      <c r="V376" s="136"/>
      <c r="W376" s="136"/>
      <c r="X376" s="136"/>
      <c r="Y376" s="136"/>
      <c r="Z376" s="136"/>
      <c r="AA376" s="231"/>
    </row>
    <row r="377" spans="1:27" x14ac:dyDescent="0.2">
      <c r="A377" s="39"/>
      <c r="B377" s="39"/>
      <c r="C377" s="43"/>
      <c r="D377" s="43"/>
      <c r="E377" s="43"/>
      <c r="F377" s="132"/>
      <c r="G377" s="41" t="e">
        <f>VLOOKUP(F377,Pcode!A:B,2,FALSE)</f>
        <v>#N/A</v>
      </c>
      <c r="H377" s="41"/>
      <c r="I377" s="41" t="e">
        <f>VLOOKUP(H377,Pcode!C:D,2,FALSE)</f>
        <v>#N/A</v>
      </c>
      <c r="J377" s="41"/>
      <c r="K377" s="160"/>
      <c r="L377" s="160"/>
      <c r="M377" s="46"/>
      <c r="N377" s="136"/>
      <c r="O377" s="136"/>
      <c r="P377" s="136"/>
      <c r="Q377" s="136"/>
      <c r="R377" s="136"/>
      <c r="S377" s="136"/>
      <c r="T377" s="136"/>
      <c r="U377" s="136"/>
      <c r="V377" s="136"/>
      <c r="W377" s="136"/>
      <c r="X377" s="136"/>
      <c r="Y377" s="136"/>
      <c r="Z377" s="136"/>
      <c r="AA377" s="231"/>
    </row>
    <row r="378" spans="1:27" x14ac:dyDescent="0.2">
      <c r="A378" s="39"/>
      <c r="B378" s="39"/>
      <c r="C378" s="43"/>
      <c r="D378" s="43"/>
      <c r="E378" s="43"/>
      <c r="F378" s="132"/>
      <c r="G378" s="41" t="e">
        <f>VLOOKUP(F378,Pcode!A:B,2,FALSE)</f>
        <v>#N/A</v>
      </c>
      <c r="H378" s="41"/>
      <c r="I378" s="41" t="e">
        <f>VLOOKUP(H378,Pcode!C:D,2,FALSE)</f>
        <v>#N/A</v>
      </c>
      <c r="J378" s="41"/>
      <c r="K378" s="160"/>
      <c r="L378" s="160"/>
      <c r="M378" s="46"/>
      <c r="N378" s="136"/>
      <c r="O378" s="136"/>
      <c r="P378" s="136"/>
      <c r="Q378" s="136"/>
      <c r="R378" s="136"/>
      <c r="S378" s="136"/>
      <c r="T378" s="136"/>
      <c r="U378" s="136"/>
      <c r="V378" s="136"/>
      <c r="W378" s="136"/>
      <c r="X378" s="136"/>
      <c r="Y378" s="136"/>
      <c r="Z378" s="136"/>
      <c r="AA378" s="231"/>
    </row>
    <row r="379" spans="1:27" x14ac:dyDescent="0.2">
      <c r="A379" s="39"/>
      <c r="B379" s="39"/>
      <c r="C379" s="43"/>
      <c r="D379" s="43"/>
      <c r="E379" s="43"/>
      <c r="F379" s="132"/>
      <c r="G379" s="41" t="e">
        <f>VLOOKUP(F379,Pcode!A:B,2,FALSE)</f>
        <v>#N/A</v>
      </c>
      <c r="H379" s="41"/>
      <c r="I379" s="41" t="e">
        <f>VLOOKUP(H379,Pcode!C:D,2,FALSE)</f>
        <v>#N/A</v>
      </c>
      <c r="J379" s="41"/>
      <c r="K379" s="160"/>
      <c r="L379" s="160"/>
      <c r="M379" s="46"/>
      <c r="N379" s="136"/>
      <c r="O379" s="136"/>
      <c r="P379" s="136"/>
      <c r="Q379" s="136"/>
      <c r="R379" s="136"/>
      <c r="S379" s="136"/>
      <c r="T379" s="136"/>
      <c r="U379" s="136"/>
      <c r="V379" s="136"/>
      <c r="W379" s="136"/>
      <c r="X379" s="136"/>
      <c r="Y379" s="136"/>
      <c r="Z379" s="136"/>
      <c r="AA379" s="231"/>
    </row>
    <row r="380" spans="1:27" x14ac:dyDescent="0.2">
      <c r="A380" s="39"/>
      <c r="B380" s="39"/>
      <c r="C380" s="43"/>
      <c r="D380" s="43"/>
      <c r="E380" s="43"/>
      <c r="F380" s="132"/>
      <c r="G380" s="41" t="e">
        <f>VLOOKUP(F380,Pcode!A:B,2,FALSE)</f>
        <v>#N/A</v>
      </c>
      <c r="H380" s="41"/>
      <c r="I380" s="41" t="e">
        <f>VLOOKUP(H380,Pcode!C:D,2,FALSE)</f>
        <v>#N/A</v>
      </c>
      <c r="J380" s="41"/>
      <c r="K380" s="160"/>
      <c r="L380" s="160"/>
      <c r="M380" s="46"/>
      <c r="N380" s="136"/>
      <c r="O380" s="136"/>
      <c r="P380" s="136"/>
      <c r="Q380" s="136"/>
      <c r="R380" s="136"/>
      <c r="S380" s="136"/>
      <c r="T380" s="136"/>
      <c r="U380" s="136"/>
      <c r="V380" s="136"/>
      <c r="W380" s="136"/>
      <c r="X380" s="136"/>
      <c r="Y380" s="136"/>
      <c r="Z380" s="136"/>
      <c r="AA380" s="231"/>
    </row>
    <row r="381" spans="1:27" x14ac:dyDescent="0.2">
      <c r="A381" s="39"/>
      <c r="B381" s="39"/>
      <c r="C381" s="43"/>
      <c r="D381" s="43"/>
      <c r="E381" s="43"/>
      <c r="F381" s="132"/>
      <c r="G381" s="41" t="e">
        <f>VLOOKUP(F381,Pcode!A:B,2,FALSE)</f>
        <v>#N/A</v>
      </c>
      <c r="H381" s="41"/>
      <c r="I381" s="41" t="e">
        <f>VLOOKUP(H381,Pcode!C:D,2,FALSE)</f>
        <v>#N/A</v>
      </c>
      <c r="J381" s="41"/>
      <c r="K381" s="160"/>
      <c r="L381" s="160"/>
      <c r="M381" s="46"/>
      <c r="N381" s="136"/>
      <c r="O381" s="136"/>
      <c r="P381" s="136"/>
      <c r="Q381" s="136"/>
      <c r="R381" s="136"/>
      <c r="S381" s="136"/>
      <c r="T381" s="136"/>
      <c r="U381" s="136"/>
      <c r="V381" s="136"/>
      <c r="W381" s="136"/>
      <c r="X381" s="136"/>
      <c r="Y381" s="136"/>
      <c r="Z381" s="136"/>
      <c r="AA381" s="231"/>
    </row>
    <row r="382" spans="1:27" x14ac:dyDescent="0.2">
      <c r="A382" s="39"/>
      <c r="B382" s="39"/>
      <c r="C382" s="43"/>
      <c r="D382" s="43"/>
      <c r="E382" s="43"/>
      <c r="F382" s="132"/>
      <c r="G382" s="41" t="e">
        <f>VLOOKUP(F382,Pcode!A:B,2,FALSE)</f>
        <v>#N/A</v>
      </c>
      <c r="H382" s="41"/>
      <c r="I382" s="41" t="e">
        <f>VLOOKUP(H382,Pcode!C:D,2,FALSE)</f>
        <v>#N/A</v>
      </c>
      <c r="J382" s="41"/>
      <c r="K382" s="160"/>
      <c r="L382" s="160"/>
      <c r="M382" s="46"/>
      <c r="N382" s="136"/>
      <c r="O382" s="136"/>
      <c r="P382" s="136"/>
      <c r="Q382" s="136"/>
      <c r="R382" s="136"/>
      <c r="S382" s="136"/>
      <c r="T382" s="136"/>
      <c r="U382" s="136"/>
      <c r="V382" s="136"/>
      <c r="W382" s="136"/>
      <c r="X382" s="136"/>
      <c r="Y382" s="136"/>
      <c r="Z382" s="136"/>
      <c r="AA382" s="231"/>
    </row>
    <row r="383" spans="1:27" x14ac:dyDescent="0.2">
      <c r="A383" s="39"/>
      <c r="B383" s="39"/>
      <c r="C383" s="43"/>
      <c r="D383" s="43"/>
      <c r="E383" s="43"/>
      <c r="F383" s="132"/>
      <c r="G383" s="41" t="e">
        <f>VLOOKUP(F383,Pcode!A:B,2,FALSE)</f>
        <v>#N/A</v>
      </c>
      <c r="H383" s="41"/>
      <c r="I383" s="41" t="e">
        <f>VLOOKUP(H383,Pcode!C:D,2,FALSE)</f>
        <v>#N/A</v>
      </c>
      <c r="J383" s="41"/>
      <c r="K383" s="160"/>
      <c r="L383" s="160"/>
      <c r="M383" s="46"/>
      <c r="N383" s="136"/>
      <c r="O383" s="136"/>
      <c r="P383" s="136"/>
      <c r="Q383" s="136"/>
      <c r="R383" s="136"/>
      <c r="S383" s="136"/>
      <c r="T383" s="136"/>
      <c r="U383" s="136"/>
      <c r="V383" s="136"/>
      <c r="W383" s="136"/>
      <c r="X383" s="136"/>
      <c r="Y383" s="136"/>
      <c r="Z383" s="136"/>
      <c r="AA383" s="231"/>
    </row>
    <row r="384" spans="1:27" x14ac:dyDescent="0.2">
      <c r="A384" s="39"/>
      <c r="B384" s="39"/>
      <c r="C384" s="43"/>
      <c r="D384" s="43"/>
      <c r="E384" s="43"/>
      <c r="F384" s="132"/>
      <c r="G384" s="41" t="e">
        <f>VLOOKUP(F384,Pcode!A:B,2,FALSE)</f>
        <v>#N/A</v>
      </c>
      <c r="H384" s="41"/>
      <c r="I384" s="41" t="e">
        <f>VLOOKUP(H384,Pcode!C:D,2,FALSE)</f>
        <v>#N/A</v>
      </c>
      <c r="J384" s="41"/>
      <c r="K384" s="160"/>
      <c r="L384" s="160"/>
      <c r="M384" s="46"/>
      <c r="N384" s="136"/>
      <c r="O384" s="136"/>
      <c r="P384" s="136"/>
      <c r="Q384" s="136"/>
      <c r="R384" s="136"/>
      <c r="S384" s="136"/>
      <c r="T384" s="136"/>
      <c r="U384" s="136"/>
      <c r="V384" s="136"/>
      <c r="W384" s="136"/>
      <c r="X384" s="136"/>
      <c r="Y384" s="136"/>
      <c r="Z384" s="136"/>
      <c r="AA384" s="231"/>
    </row>
    <row r="385" spans="1:27" x14ac:dyDescent="0.2">
      <c r="A385" s="39"/>
      <c r="B385" s="39"/>
      <c r="C385" s="43"/>
      <c r="D385" s="43"/>
      <c r="E385" s="43"/>
      <c r="F385" s="132"/>
      <c r="G385" s="41" t="e">
        <f>VLOOKUP(F385,Pcode!A:B,2,FALSE)</f>
        <v>#N/A</v>
      </c>
      <c r="H385" s="41"/>
      <c r="I385" s="41" t="e">
        <f>VLOOKUP(H385,Pcode!C:D,2,FALSE)</f>
        <v>#N/A</v>
      </c>
      <c r="J385" s="41"/>
      <c r="K385" s="160"/>
      <c r="L385" s="160"/>
      <c r="M385" s="46"/>
      <c r="N385" s="136"/>
      <c r="O385" s="136"/>
      <c r="P385" s="136"/>
      <c r="Q385" s="136"/>
      <c r="R385" s="136"/>
      <c r="S385" s="136"/>
      <c r="T385" s="136"/>
      <c r="U385" s="136"/>
      <c r="V385" s="136"/>
      <c r="W385" s="136"/>
      <c r="X385" s="136"/>
      <c r="Y385" s="136"/>
      <c r="Z385" s="136"/>
      <c r="AA385" s="231"/>
    </row>
    <row r="386" spans="1:27" x14ac:dyDescent="0.2">
      <c r="A386" s="39"/>
      <c r="B386" s="39"/>
      <c r="C386" s="43"/>
      <c r="D386" s="43"/>
      <c r="E386" s="43"/>
      <c r="F386" s="132"/>
      <c r="G386" s="41" t="e">
        <f>VLOOKUP(F386,Pcode!A:B,2,FALSE)</f>
        <v>#N/A</v>
      </c>
      <c r="H386" s="41"/>
      <c r="I386" s="41" t="e">
        <f>VLOOKUP(H386,Pcode!C:D,2,FALSE)</f>
        <v>#N/A</v>
      </c>
      <c r="J386" s="41"/>
      <c r="K386" s="160"/>
      <c r="L386" s="160"/>
      <c r="M386" s="46"/>
      <c r="N386" s="136"/>
      <c r="O386" s="136"/>
      <c r="P386" s="136"/>
      <c r="Q386" s="136"/>
      <c r="R386" s="136"/>
      <c r="S386" s="136"/>
      <c r="T386" s="136"/>
      <c r="U386" s="136"/>
      <c r="V386" s="136"/>
      <c r="W386" s="136"/>
      <c r="X386" s="136"/>
      <c r="Y386" s="136"/>
      <c r="Z386" s="136"/>
      <c r="AA386" s="231"/>
    </row>
    <row r="387" spans="1:27" x14ac:dyDescent="0.2">
      <c r="A387" s="39"/>
      <c r="B387" s="39"/>
      <c r="C387" s="43"/>
      <c r="D387" s="43"/>
      <c r="E387" s="43"/>
      <c r="F387" s="132"/>
      <c r="G387" s="41" t="e">
        <f>VLOOKUP(F387,Pcode!A:B,2,FALSE)</f>
        <v>#N/A</v>
      </c>
      <c r="H387" s="41"/>
      <c r="I387" s="41" t="e">
        <f>VLOOKUP(H387,Pcode!C:D,2,FALSE)</f>
        <v>#N/A</v>
      </c>
      <c r="J387" s="41"/>
      <c r="K387" s="160"/>
      <c r="L387" s="160"/>
      <c r="M387" s="46"/>
      <c r="N387" s="136"/>
      <c r="O387" s="136"/>
      <c r="P387" s="136"/>
      <c r="Q387" s="136"/>
      <c r="R387" s="136"/>
      <c r="S387" s="136"/>
      <c r="T387" s="136"/>
      <c r="U387" s="136"/>
      <c r="V387" s="136"/>
      <c r="W387" s="136"/>
      <c r="X387" s="136"/>
      <c r="Y387" s="136"/>
      <c r="Z387" s="136"/>
      <c r="AA387" s="231"/>
    </row>
    <row r="388" spans="1:27" x14ac:dyDescent="0.2">
      <c r="A388" s="39"/>
      <c r="B388" s="39"/>
      <c r="C388" s="43"/>
      <c r="D388" s="43"/>
      <c r="E388" s="43"/>
      <c r="F388" s="132"/>
      <c r="G388" s="41" t="e">
        <f>VLOOKUP(F388,Pcode!A:B,2,FALSE)</f>
        <v>#N/A</v>
      </c>
      <c r="H388" s="41"/>
      <c r="I388" s="41" t="e">
        <f>VLOOKUP(H388,Pcode!C:D,2,FALSE)</f>
        <v>#N/A</v>
      </c>
      <c r="J388" s="41"/>
      <c r="K388" s="160"/>
      <c r="L388" s="160"/>
      <c r="M388" s="46"/>
      <c r="N388" s="136"/>
      <c r="O388" s="136"/>
      <c r="P388" s="136"/>
      <c r="Q388" s="136"/>
      <c r="R388" s="136"/>
      <c r="S388" s="136"/>
      <c r="T388" s="136"/>
      <c r="U388" s="136"/>
      <c r="V388" s="136"/>
      <c r="W388" s="136"/>
      <c r="X388" s="136"/>
      <c r="Y388" s="136"/>
      <c r="Z388" s="136"/>
      <c r="AA388" s="231"/>
    </row>
    <row r="389" spans="1:27" x14ac:dyDescent="0.2">
      <c r="A389" s="39"/>
      <c r="B389" s="39"/>
      <c r="C389" s="43"/>
      <c r="D389" s="43"/>
      <c r="E389" s="43"/>
      <c r="F389" s="132"/>
      <c r="G389" s="41" t="e">
        <f>VLOOKUP(F389,Pcode!A:B,2,FALSE)</f>
        <v>#N/A</v>
      </c>
      <c r="H389" s="41"/>
      <c r="I389" s="41" t="e">
        <f>VLOOKUP(H389,Pcode!C:D,2,FALSE)</f>
        <v>#N/A</v>
      </c>
      <c r="J389" s="41"/>
      <c r="K389" s="160"/>
      <c r="L389" s="160"/>
      <c r="M389" s="46"/>
      <c r="N389" s="136"/>
      <c r="O389" s="136"/>
      <c r="P389" s="136"/>
      <c r="Q389" s="136"/>
      <c r="R389" s="136"/>
      <c r="S389" s="136"/>
      <c r="T389" s="136"/>
      <c r="U389" s="136"/>
      <c r="V389" s="136"/>
      <c r="W389" s="136"/>
      <c r="X389" s="136"/>
      <c r="Y389" s="136"/>
      <c r="Z389" s="136"/>
      <c r="AA389" s="231"/>
    </row>
    <row r="390" spans="1:27" x14ac:dyDescent="0.2">
      <c r="A390" s="39"/>
      <c r="B390" s="39"/>
      <c r="C390" s="43"/>
      <c r="D390" s="43"/>
      <c r="E390" s="43"/>
      <c r="F390" s="132"/>
      <c r="G390" s="41" t="e">
        <f>VLOOKUP(F390,Pcode!A:B,2,FALSE)</f>
        <v>#N/A</v>
      </c>
      <c r="H390" s="41"/>
      <c r="I390" s="41" t="e">
        <f>VLOOKUP(H390,Pcode!C:D,2,FALSE)</f>
        <v>#N/A</v>
      </c>
      <c r="J390" s="41"/>
      <c r="K390" s="160"/>
      <c r="L390" s="160"/>
      <c r="M390" s="46"/>
      <c r="N390" s="136"/>
      <c r="O390" s="136"/>
      <c r="P390" s="136"/>
      <c r="Q390" s="136"/>
      <c r="R390" s="136"/>
      <c r="S390" s="136"/>
      <c r="T390" s="136"/>
      <c r="U390" s="136"/>
      <c r="V390" s="136"/>
      <c r="W390" s="136"/>
      <c r="X390" s="136"/>
      <c r="Y390" s="136"/>
      <c r="Z390" s="136"/>
      <c r="AA390" s="231"/>
    </row>
    <row r="391" spans="1:27" x14ac:dyDescent="0.2">
      <c r="A391" s="39"/>
      <c r="B391" s="39"/>
      <c r="C391" s="43"/>
      <c r="D391" s="43"/>
      <c r="E391" s="43"/>
      <c r="F391" s="132"/>
      <c r="G391" s="41" t="e">
        <f>VLOOKUP(F391,Pcode!A:B,2,FALSE)</f>
        <v>#N/A</v>
      </c>
      <c r="H391" s="41"/>
      <c r="I391" s="41" t="e">
        <f>VLOOKUP(H391,Pcode!C:D,2,FALSE)</f>
        <v>#N/A</v>
      </c>
      <c r="J391" s="41"/>
      <c r="K391" s="160"/>
      <c r="L391" s="160"/>
      <c r="M391" s="46"/>
      <c r="N391" s="136"/>
      <c r="O391" s="136"/>
      <c r="P391" s="136"/>
      <c r="Q391" s="136"/>
      <c r="R391" s="136"/>
      <c r="S391" s="136"/>
      <c r="T391" s="136"/>
      <c r="U391" s="136"/>
      <c r="V391" s="136"/>
      <c r="W391" s="136"/>
      <c r="X391" s="136"/>
      <c r="Y391" s="136"/>
      <c r="Z391" s="136"/>
      <c r="AA391" s="231"/>
    </row>
    <row r="392" spans="1:27" x14ac:dyDescent="0.2">
      <c r="A392" s="39"/>
      <c r="B392" s="39"/>
      <c r="C392" s="43"/>
      <c r="D392" s="43"/>
      <c r="E392" s="43"/>
      <c r="F392" s="132"/>
      <c r="G392" s="41" t="e">
        <f>VLOOKUP(F392,Pcode!A:B,2,FALSE)</f>
        <v>#N/A</v>
      </c>
      <c r="H392" s="41"/>
      <c r="I392" s="41" t="e">
        <f>VLOOKUP(H392,Pcode!C:D,2,FALSE)</f>
        <v>#N/A</v>
      </c>
      <c r="J392" s="41"/>
      <c r="K392" s="160"/>
      <c r="L392" s="160"/>
      <c r="M392" s="46"/>
      <c r="N392" s="136"/>
      <c r="O392" s="136"/>
      <c r="P392" s="136"/>
      <c r="Q392" s="136"/>
      <c r="R392" s="136"/>
      <c r="S392" s="136"/>
      <c r="T392" s="136"/>
      <c r="U392" s="136"/>
      <c r="V392" s="136"/>
      <c r="W392" s="136"/>
      <c r="X392" s="136"/>
      <c r="Y392" s="136"/>
      <c r="Z392" s="136"/>
      <c r="AA392" s="231"/>
    </row>
    <row r="393" spans="1:27" x14ac:dyDescent="0.2">
      <c r="A393" s="39"/>
      <c r="B393" s="39"/>
      <c r="C393" s="43"/>
      <c r="D393" s="43"/>
      <c r="E393" s="43"/>
      <c r="F393" s="132"/>
      <c r="G393" s="41" t="e">
        <f>VLOOKUP(F393,Pcode!A:B,2,FALSE)</f>
        <v>#N/A</v>
      </c>
      <c r="H393" s="41"/>
      <c r="I393" s="41" t="e">
        <f>VLOOKUP(H393,Pcode!C:D,2,FALSE)</f>
        <v>#N/A</v>
      </c>
      <c r="J393" s="41"/>
      <c r="K393" s="160"/>
      <c r="L393" s="160"/>
      <c r="M393" s="46"/>
      <c r="N393" s="136"/>
      <c r="O393" s="136"/>
      <c r="P393" s="136"/>
      <c r="Q393" s="136"/>
      <c r="R393" s="136"/>
      <c r="S393" s="136"/>
      <c r="T393" s="136"/>
      <c r="U393" s="136"/>
      <c r="V393" s="136"/>
      <c r="W393" s="136"/>
      <c r="X393" s="136"/>
      <c r="Y393" s="136"/>
      <c r="Z393" s="136"/>
      <c r="AA393" s="231"/>
    </row>
    <row r="394" spans="1:27" x14ac:dyDescent="0.2">
      <c r="A394" s="39"/>
      <c r="B394" s="39"/>
      <c r="C394" s="43"/>
      <c r="D394" s="43"/>
      <c r="E394" s="43"/>
      <c r="F394" s="132"/>
      <c r="G394" s="41" t="e">
        <f>VLOOKUP(F394,Pcode!A:B,2,FALSE)</f>
        <v>#N/A</v>
      </c>
      <c r="H394" s="41"/>
      <c r="I394" s="41" t="e">
        <f>VLOOKUP(H394,Pcode!C:D,2,FALSE)</f>
        <v>#N/A</v>
      </c>
      <c r="J394" s="41"/>
      <c r="K394" s="160"/>
      <c r="L394" s="160"/>
      <c r="M394" s="46"/>
      <c r="N394" s="136"/>
      <c r="O394" s="136"/>
      <c r="P394" s="136"/>
      <c r="Q394" s="136"/>
      <c r="R394" s="136"/>
      <c r="S394" s="136"/>
      <c r="T394" s="136"/>
      <c r="U394" s="136"/>
      <c r="V394" s="136"/>
      <c r="W394" s="136"/>
      <c r="X394" s="136"/>
      <c r="Y394" s="136"/>
      <c r="Z394" s="136"/>
      <c r="AA394" s="231"/>
    </row>
    <row r="395" spans="1:27" x14ac:dyDescent="0.2">
      <c r="A395" s="39"/>
      <c r="B395" s="39"/>
      <c r="C395" s="43"/>
      <c r="D395" s="43"/>
      <c r="E395" s="43"/>
      <c r="F395" s="132"/>
      <c r="G395" s="41" t="e">
        <f>VLOOKUP(F395,Pcode!A:B,2,FALSE)</f>
        <v>#N/A</v>
      </c>
      <c r="H395" s="41"/>
      <c r="I395" s="41" t="e">
        <f>VLOOKUP(H395,Pcode!C:D,2,FALSE)</f>
        <v>#N/A</v>
      </c>
      <c r="J395" s="41"/>
      <c r="K395" s="160"/>
      <c r="L395" s="160"/>
      <c r="M395" s="46"/>
      <c r="N395" s="136"/>
      <c r="O395" s="136"/>
      <c r="P395" s="136"/>
      <c r="Q395" s="136"/>
      <c r="R395" s="136"/>
      <c r="S395" s="136"/>
      <c r="T395" s="136"/>
      <c r="U395" s="136"/>
      <c r="V395" s="136"/>
      <c r="W395" s="136"/>
      <c r="X395" s="136"/>
      <c r="Y395" s="136"/>
      <c r="Z395" s="136"/>
      <c r="AA395" s="231"/>
    </row>
    <row r="396" spans="1:27" x14ac:dyDescent="0.2">
      <c r="A396" s="39"/>
      <c r="B396" s="39"/>
      <c r="C396" s="43"/>
      <c r="D396" s="43"/>
      <c r="E396" s="43"/>
      <c r="F396" s="132"/>
      <c r="G396" s="41" t="e">
        <f>VLOOKUP(F396,Pcode!A:B,2,FALSE)</f>
        <v>#N/A</v>
      </c>
      <c r="H396" s="41"/>
      <c r="I396" s="41" t="e">
        <f>VLOOKUP(H396,Pcode!C:D,2,FALSE)</f>
        <v>#N/A</v>
      </c>
      <c r="J396" s="41"/>
      <c r="K396" s="160"/>
      <c r="L396" s="160"/>
      <c r="M396" s="46"/>
      <c r="N396" s="136"/>
      <c r="O396" s="136"/>
      <c r="P396" s="136"/>
      <c r="Q396" s="136"/>
      <c r="R396" s="136"/>
      <c r="S396" s="136"/>
      <c r="T396" s="136"/>
      <c r="U396" s="136"/>
      <c r="V396" s="136"/>
      <c r="W396" s="136"/>
      <c r="X396" s="136"/>
      <c r="Y396" s="136"/>
      <c r="Z396" s="136"/>
      <c r="AA396" s="231"/>
    </row>
    <row r="397" spans="1:27" x14ac:dyDescent="0.2">
      <c r="A397" s="39"/>
      <c r="B397" s="39"/>
      <c r="C397" s="43"/>
      <c r="D397" s="43"/>
      <c r="E397" s="43"/>
      <c r="F397" s="132"/>
      <c r="G397" s="41" t="e">
        <f>VLOOKUP(F397,Pcode!A:B,2,FALSE)</f>
        <v>#N/A</v>
      </c>
      <c r="H397" s="41"/>
      <c r="I397" s="41" t="e">
        <f>VLOOKUP(H397,Pcode!C:D,2,FALSE)</f>
        <v>#N/A</v>
      </c>
      <c r="J397" s="41"/>
      <c r="K397" s="160"/>
      <c r="L397" s="160"/>
      <c r="M397" s="46"/>
      <c r="N397" s="136"/>
      <c r="O397" s="136"/>
      <c r="P397" s="136"/>
      <c r="Q397" s="136"/>
      <c r="R397" s="136"/>
      <c r="S397" s="136"/>
      <c r="T397" s="136"/>
      <c r="U397" s="136"/>
      <c r="V397" s="136"/>
      <c r="W397" s="136"/>
      <c r="X397" s="136"/>
      <c r="Y397" s="136"/>
      <c r="Z397" s="136"/>
      <c r="AA397" s="231"/>
    </row>
    <row r="398" spans="1:27" x14ac:dyDescent="0.2">
      <c r="A398" s="39"/>
      <c r="B398" s="39"/>
      <c r="C398" s="43"/>
      <c r="D398" s="43"/>
      <c r="E398" s="43"/>
      <c r="F398" s="132"/>
      <c r="G398" s="41" t="e">
        <f>VLOOKUP(F398,Pcode!A:B,2,FALSE)</f>
        <v>#N/A</v>
      </c>
      <c r="H398" s="41"/>
      <c r="I398" s="41" t="e">
        <f>VLOOKUP(H398,Pcode!C:D,2,FALSE)</f>
        <v>#N/A</v>
      </c>
      <c r="J398" s="41"/>
      <c r="K398" s="160"/>
      <c r="L398" s="160"/>
      <c r="M398" s="46"/>
      <c r="N398" s="136"/>
      <c r="O398" s="136"/>
      <c r="P398" s="136"/>
      <c r="Q398" s="136"/>
      <c r="R398" s="136"/>
      <c r="S398" s="136"/>
      <c r="T398" s="136"/>
      <c r="U398" s="136"/>
      <c r="V398" s="136"/>
      <c r="W398" s="136"/>
      <c r="X398" s="136"/>
      <c r="Y398" s="136"/>
      <c r="Z398" s="136"/>
      <c r="AA398" s="231"/>
    </row>
    <row r="399" spans="1:27" x14ac:dyDescent="0.2">
      <c r="A399" s="39"/>
      <c r="B399" s="39"/>
      <c r="C399" s="43"/>
      <c r="D399" s="43"/>
      <c r="E399" s="43"/>
      <c r="F399" s="132"/>
      <c r="G399" s="41" t="e">
        <f>VLOOKUP(F399,Pcode!A:B,2,FALSE)</f>
        <v>#N/A</v>
      </c>
      <c r="H399" s="41"/>
      <c r="I399" s="41" t="e">
        <f>VLOOKUP(H399,Pcode!C:D,2,FALSE)</f>
        <v>#N/A</v>
      </c>
      <c r="J399" s="41"/>
      <c r="K399" s="160"/>
      <c r="L399" s="160"/>
      <c r="M399" s="46"/>
      <c r="N399" s="136"/>
      <c r="O399" s="136"/>
      <c r="P399" s="136"/>
      <c r="Q399" s="136"/>
      <c r="R399" s="136"/>
      <c r="S399" s="136"/>
      <c r="T399" s="136"/>
      <c r="U399" s="136"/>
      <c r="V399" s="136"/>
      <c r="W399" s="136"/>
      <c r="X399" s="136"/>
      <c r="Y399" s="136"/>
      <c r="Z399" s="136"/>
      <c r="AA399" s="231"/>
    </row>
    <row r="400" spans="1:27" x14ac:dyDescent="0.2">
      <c r="A400" s="39"/>
      <c r="B400" s="39"/>
      <c r="C400" s="43"/>
      <c r="D400" s="43"/>
      <c r="E400" s="43"/>
      <c r="F400" s="132"/>
      <c r="G400" s="41" t="e">
        <f>VLOOKUP(F400,Pcode!A:B,2,FALSE)</f>
        <v>#N/A</v>
      </c>
      <c r="H400" s="41"/>
      <c r="I400" s="41" t="e">
        <f>VLOOKUP(H400,Pcode!C:D,2,FALSE)</f>
        <v>#N/A</v>
      </c>
      <c r="J400" s="41"/>
      <c r="K400" s="160"/>
      <c r="L400" s="160"/>
      <c r="M400" s="46"/>
      <c r="N400" s="136"/>
      <c r="O400" s="136"/>
      <c r="P400" s="136"/>
      <c r="Q400" s="136"/>
      <c r="R400" s="136"/>
      <c r="S400" s="136"/>
      <c r="T400" s="136"/>
      <c r="U400" s="136"/>
      <c r="V400" s="136"/>
      <c r="W400" s="136"/>
      <c r="X400" s="136"/>
      <c r="Y400" s="136"/>
      <c r="Z400" s="136"/>
      <c r="AA400" s="231"/>
    </row>
    <row r="401" spans="1:27" x14ac:dyDescent="0.2">
      <c r="A401" s="39"/>
      <c r="B401" s="39"/>
      <c r="C401" s="43"/>
      <c r="D401" s="43"/>
      <c r="E401" s="43"/>
      <c r="F401" s="132"/>
      <c r="G401" s="41" t="e">
        <f>VLOOKUP(F401,Pcode!A:B,2,FALSE)</f>
        <v>#N/A</v>
      </c>
      <c r="H401" s="41"/>
      <c r="I401" s="41" t="e">
        <f>VLOOKUP(H401,Pcode!C:D,2,FALSE)</f>
        <v>#N/A</v>
      </c>
      <c r="J401" s="41"/>
      <c r="K401" s="160"/>
      <c r="L401" s="160"/>
      <c r="M401" s="46"/>
      <c r="N401" s="136"/>
      <c r="O401" s="136"/>
      <c r="P401" s="136"/>
      <c r="Q401" s="136"/>
      <c r="R401" s="136"/>
      <c r="S401" s="136"/>
      <c r="T401" s="136"/>
      <c r="U401" s="136"/>
      <c r="V401" s="136"/>
      <c r="W401" s="136"/>
      <c r="X401" s="136"/>
      <c r="Y401" s="136"/>
      <c r="Z401" s="136"/>
      <c r="AA401" s="231"/>
    </row>
    <row r="402" spans="1:27" x14ac:dyDescent="0.2">
      <c r="A402" s="39"/>
      <c r="B402" s="39"/>
      <c r="C402" s="43"/>
      <c r="D402" s="43"/>
      <c r="E402" s="43"/>
      <c r="F402" s="132"/>
      <c r="G402" s="41" t="e">
        <f>VLOOKUP(F402,Pcode!A:B,2,FALSE)</f>
        <v>#N/A</v>
      </c>
      <c r="H402" s="41"/>
      <c r="I402" s="41" t="e">
        <f>VLOOKUP(H402,Pcode!C:D,2,FALSE)</f>
        <v>#N/A</v>
      </c>
      <c r="J402" s="41"/>
      <c r="K402" s="160"/>
      <c r="L402" s="160"/>
      <c r="M402" s="46"/>
      <c r="N402" s="136"/>
      <c r="O402" s="136"/>
      <c r="P402" s="136"/>
      <c r="Q402" s="136"/>
      <c r="R402" s="136"/>
      <c r="S402" s="136"/>
      <c r="T402" s="136"/>
      <c r="U402" s="136"/>
      <c r="V402" s="136"/>
      <c r="W402" s="136"/>
      <c r="X402" s="136"/>
      <c r="Y402" s="136"/>
      <c r="Z402" s="136"/>
      <c r="AA402" s="231"/>
    </row>
    <row r="403" spans="1:27" x14ac:dyDescent="0.2">
      <c r="A403" s="39"/>
      <c r="B403" s="39"/>
      <c r="C403" s="43"/>
      <c r="D403" s="43"/>
      <c r="E403" s="43"/>
      <c r="F403" s="132"/>
      <c r="G403" s="41" t="e">
        <f>VLOOKUP(F403,Pcode!A:B,2,FALSE)</f>
        <v>#N/A</v>
      </c>
      <c r="H403" s="41"/>
      <c r="I403" s="41" t="e">
        <f>VLOOKUP(H403,Pcode!C:D,2,FALSE)</f>
        <v>#N/A</v>
      </c>
      <c r="J403" s="41"/>
      <c r="K403" s="160"/>
      <c r="L403" s="160"/>
      <c r="M403" s="46"/>
      <c r="N403" s="136"/>
      <c r="O403" s="136"/>
      <c r="P403" s="136"/>
      <c r="Q403" s="136"/>
      <c r="R403" s="136"/>
      <c r="S403" s="136"/>
      <c r="T403" s="136"/>
      <c r="U403" s="136"/>
      <c r="V403" s="136"/>
      <c r="W403" s="136"/>
      <c r="X403" s="136"/>
      <c r="Y403" s="136"/>
      <c r="Z403" s="136"/>
      <c r="AA403" s="231"/>
    </row>
    <row r="404" spans="1:27" x14ac:dyDescent="0.2">
      <c r="A404" s="39"/>
      <c r="B404" s="39"/>
      <c r="C404" s="43"/>
      <c r="D404" s="43"/>
      <c r="E404" s="43"/>
      <c r="F404" s="132"/>
      <c r="G404" s="41" t="e">
        <f>VLOOKUP(F404,Pcode!A:B,2,FALSE)</f>
        <v>#N/A</v>
      </c>
      <c r="H404" s="41"/>
      <c r="I404" s="41" t="e">
        <f>VLOOKUP(H404,Pcode!C:D,2,FALSE)</f>
        <v>#N/A</v>
      </c>
      <c r="J404" s="41"/>
      <c r="K404" s="160"/>
      <c r="L404" s="160"/>
      <c r="M404" s="46"/>
      <c r="N404" s="136"/>
      <c r="O404" s="136"/>
      <c r="P404" s="136"/>
      <c r="Q404" s="136"/>
      <c r="R404" s="136"/>
      <c r="S404" s="136"/>
      <c r="T404" s="136"/>
      <c r="U404" s="136"/>
      <c r="V404" s="136"/>
      <c r="W404" s="136"/>
      <c r="X404" s="136"/>
      <c r="Y404" s="136"/>
      <c r="Z404" s="136"/>
      <c r="AA404" s="231"/>
    </row>
    <row r="405" spans="1:27" x14ac:dyDescent="0.2">
      <c r="A405" s="39"/>
      <c r="B405" s="39"/>
      <c r="C405" s="43"/>
      <c r="D405" s="43"/>
      <c r="E405" s="43"/>
      <c r="F405" s="132"/>
      <c r="G405" s="41" t="e">
        <f>VLOOKUP(F405,Pcode!A:B,2,FALSE)</f>
        <v>#N/A</v>
      </c>
      <c r="H405" s="41"/>
      <c r="I405" s="41" t="e">
        <f>VLOOKUP(H405,Pcode!C:D,2,FALSE)</f>
        <v>#N/A</v>
      </c>
      <c r="J405" s="41"/>
      <c r="K405" s="160"/>
      <c r="L405" s="160"/>
      <c r="M405" s="46"/>
      <c r="N405" s="136"/>
      <c r="O405" s="136"/>
      <c r="P405" s="136"/>
      <c r="Q405" s="136"/>
      <c r="R405" s="136"/>
      <c r="S405" s="136"/>
      <c r="T405" s="136"/>
      <c r="U405" s="136"/>
      <c r="V405" s="136"/>
      <c r="W405" s="136"/>
      <c r="X405" s="136"/>
      <c r="Y405" s="136"/>
      <c r="Z405" s="136"/>
      <c r="AA405" s="231"/>
    </row>
    <row r="406" spans="1:27" x14ac:dyDescent="0.2">
      <c r="A406" s="39"/>
      <c r="B406" s="39"/>
      <c r="C406" s="43"/>
      <c r="D406" s="43"/>
      <c r="E406" s="43"/>
      <c r="F406" s="132"/>
      <c r="G406" s="41" t="e">
        <f>VLOOKUP(F406,Pcode!A:B,2,FALSE)</f>
        <v>#N/A</v>
      </c>
      <c r="H406" s="41"/>
      <c r="I406" s="41" t="e">
        <f>VLOOKUP(H406,Pcode!C:D,2,FALSE)</f>
        <v>#N/A</v>
      </c>
      <c r="J406" s="41"/>
      <c r="K406" s="160"/>
      <c r="L406" s="160"/>
      <c r="M406" s="46"/>
      <c r="N406" s="136"/>
      <c r="O406" s="136"/>
      <c r="P406" s="136"/>
      <c r="Q406" s="136"/>
      <c r="R406" s="136"/>
      <c r="S406" s="136"/>
      <c r="T406" s="136"/>
      <c r="U406" s="136"/>
      <c r="V406" s="136"/>
      <c r="W406" s="136"/>
      <c r="X406" s="136"/>
      <c r="Y406" s="136"/>
      <c r="Z406" s="136"/>
      <c r="AA406" s="231"/>
    </row>
    <row r="407" spans="1:27" x14ac:dyDescent="0.2">
      <c r="A407" s="39"/>
      <c r="B407" s="39"/>
      <c r="C407" s="43"/>
      <c r="D407" s="43"/>
      <c r="E407" s="43"/>
      <c r="F407" s="132"/>
      <c r="G407" s="41" t="e">
        <f>VLOOKUP(F407,Pcode!A:B,2,FALSE)</f>
        <v>#N/A</v>
      </c>
      <c r="H407" s="41"/>
      <c r="I407" s="41" t="e">
        <f>VLOOKUP(H407,Pcode!C:D,2,FALSE)</f>
        <v>#N/A</v>
      </c>
      <c r="J407" s="41"/>
      <c r="K407" s="160"/>
      <c r="L407" s="160"/>
      <c r="M407" s="46"/>
      <c r="N407" s="136"/>
      <c r="O407" s="136"/>
      <c r="P407" s="136"/>
      <c r="Q407" s="136"/>
      <c r="R407" s="136"/>
      <c r="S407" s="136"/>
      <c r="T407" s="136"/>
      <c r="U407" s="136"/>
      <c r="V407" s="136"/>
      <c r="W407" s="136"/>
      <c r="X407" s="136"/>
      <c r="Y407" s="136"/>
      <c r="Z407" s="136"/>
      <c r="AA407" s="231"/>
    </row>
    <row r="408" spans="1:27" x14ac:dyDescent="0.2">
      <c r="A408" s="39"/>
      <c r="B408" s="39"/>
      <c r="C408" s="43"/>
      <c r="D408" s="43"/>
      <c r="E408" s="43"/>
      <c r="F408" s="132"/>
      <c r="G408" s="41" t="e">
        <f>VLOOKUP(F408,Pcode!A:B,2,FALSE)</f>
        <v>#N/A</v>
      </c>
      <c r="H408" s="41"/>
      <c r="I408" s="41" t="e">
        <f>VLOOKUP(H408,Pcode!C:D,2,FALSE)</f>
        <v>#N/A</v>
      </c>
      <c r="J408" s="41"/>
      <c r="K408" s="160"/>
      <c r="L408" s="160"/>
      <c r="M408" s="46"/>
      <c r="N408" s="136"/>
      <c r="O408" s="136"/>
      <c r="P408" s="136"/>
      <c r="Q408" s="136"/>
      <c r="R408" s="136"/>
      <c r="S408" s="136"/>
      <c r="T408" s="136"/>
      <c r="U408" s="136"/>
      <c r="V408" s="136"/>
      <c r="W408" s="136"/>
      <c r="X408" s="136"/>
      <c r="Y408" s="136"/>
      <c r="Z408" s="136"/>
      <c r="AA408" s="231"/>
    </row>
    <row r="409" spans="1:27" x14ac:dyDescent="0.2">
      <c r="A409" s="39"/>
      <c r="B409" s="39"/>
      <c r="C409" s="43"/>
      <c r="D409" s="43"/>
      <c r="E409" s="43"/>
      <c r="F409" s="132"/>
      <c r="G409" s="41" t="e">
        <f>VLOOKUP(F409,Pcode!A:B,2,FALSE)</f>
        <v>#N/A</v>
      </c>
      <c r="H409" s="41"/>
      <c r="I409" s="41" t="e">
        <f>VLOOKUP(H409,Pcode!C:D,2,FALSE)</f>
        <v>#N/A</v>
      </c>
      <c r="J409" s="41"/>
      <c r="K409" s="160"/>
      <c r="L409" s="160"/>
      <c r="M409" s="46"/>
      <c r="N409" s="136"/>
      <c r="O409" s="136"/>
      <c r="P409" s="136"/>
      <c r="Q409" s="136"/>
      <c r="R409" s="136"/>
      <c r="S409" s="136"/>
      <c r="T409" s="136"/>
      <c r="U409" s="136"/>
      <c r="V409" s="136"/>
      <c r="W409" s="136"/>
      <c r="X409" s="136"/>
      <c r="Y409" s="136"/>
      <c r="Z409" s="136"/>
      <c r="AA409" s="231"/>
    </row>
    <row r="410" spans="1:27" x14ac:dyDescent="0.2">
      <c r="A410" s="39"/>
      <c r="B410" s="39"/>
      <c r="C410" s="43"/>
      <c r="D410" s="43"/>
      <c r="E410" s="43"/>
      <c r="F410" s="132"/>
      <c r="G410" s="41" t="e">
        <f>VLOOKUP(F410,Pcode!A:B,2,FALSE)</f>
        <v>#N/A</v>
      </c>
      <c r="H410" s="41"/>
      <c r="I410" s="41" t="e">
        <f>VLOOKUP(H410,Pcode!C:D,2,FALSE)</f>
        <v>#N/A</v>
      </c>
      <c r="J410" s="41"/>
      <c r="K410" s="160"/>
      <c r="L410" s="160"/>
      <c r="M410" s="46"/>
      <c r="N410" s="136"/>
      <c r="O410" s="136"/>
      <c r="P410" s="136"/>
      <c r="Q410" s="136"/>
      <c r="R410" s="136"/>
      <c r="S410" s="136"/>
      <c r="T410" s="136"/>
      <c r="U410" s="136"/>
      <c r="V410" s="136"/>
      <c r="W410" s="136"/>
      <c r="X410" s="136"/>
      <c r="Y410" s="136"/>
      <c r="Z410" s="136"/>
      <c r="AA410" s="231"/>
    </row>
    <row r="411" spans="1:27" x14ac:dyDescent="0.2">
      <c r="A411" s="39"/>
      <c r="B411" s="39"/>
      <c r="C411" s="43"/>
      <c r="D411" s="43"/>
      <c r="E411" s="43"/>
      <c r="F411" s="132"/>
      <c r="G411" s="41" t="e">
        <f>VLOOKUP(F411,Pcode!A:B,2,FALSE)</f>
        <v>#N/A</v>
      </c>
      <c r="H411" s="41"/>
      <c r="I411" s="41" t="e">
        <f>VLOOKUP(H411,Pcode!C:D,2,FALSE)</f>
        <v>#N/A</v>
      </c>
      <c r="J411" s="41"/>
      <c r="K411" s="160"/>
      <c r="L411" s="160"/>
      <c r="M411" s="46"/>
      <c r="N411" s="136"/>
      <c r="O411" s="136"/>
      <c r="P411" s="136"/>
      <c r="Q411" s="136"/>
      <c r="R411" s="136"/>
      <c r="S411" s="136"/>
      <c r="T411" s="136"/>
      <c r="U411" s="136"/>
      <c r="V411" s="136"/>
      <c r="W411" s="136"/>
      <c r="X411" s="136"/>
      <c r="Y411" s="136"/>
      <c r="Z411" s="136"/>
      <c r="AA411" s="231"/>
    </row>
    <row r="412" spans="1:27" x14ac:dyDescent="0.2">
      <c r="A412" s="39"/>
      <c r="B412" s="39"/>
      <c r="C412" s="43"/>
      <c r="D412" s="43"/>
      <c r="E412" s="43"/>
      <c r="F412" s="132"/>
      <c r="G412" s="41" t="e">
        <f>VLOOKUP(F412,Pcode!A:B,2,FALSE)</f>
        <v>#N/A</v>
      </c>
      <c r="H412" s="41"/>
      <c r="I412" s="41" t="e">
        <f>VLOOKUP(H412,Pcode!C:D,2,FALSE)</f>
        <v>#N/A</v>
      </c>
      <c r="J412" s="41"/>
      <c r="K412" s="160"/>
      <c r="L412" s="160"/>
      <c r="M412" s="46"/>
      <c r="N412" s="136"/>
      <c r="O412" s="136"/>
      <c r="P412" s="136"/>
      <c r="Q412" s="136"/>
      <c r="R412" s="136"/>
      <c r="S412" s="136"/>
      <c r="T412" s="136"/>
      <c r="U412" s="136"/>
      <c r="V412" s="136"/>
      <c r="W412" s="136"/>
      <c r="X412" s="136"/>
      <c r="Y412" s="136"/>
      <c r="Z412" s="136"/>
      <c r="AA412" s="231"/>
    </row>
    <row r="413" spans="1:27" x14ac:dyDescent="0.2">
      <c r="A413" s="39"/>
      <c r="B413" s="39"/>
      <c r="C413" s="43"/>
      <c r="D413" s="43"/>
      <c r="E413" s="43"/>
      <c r="F413" s="132"/>
      <c r="G413" s="41" t="e">
        <f>VLOOKUP(F413,Pcode!A:B,2,FALSE)</f>
        <v>#N/A</v>
      </c>
      <c r="H413" s="41"/>
      <c r="I413" s="41" t="e">
        <f>VLOOKUP(H413,Pcode!C:D,2,FALSE)</f>
        <v>#N/A</v>
      </c>
      <c r="J413" s="41"/>
      <c r="K413" s="160"/>
      <c r="L413" s="160"/>
      <c r="M413" s="46"/>
      <c r="N413" s="136"/>
      <c r="O413" s="136"/>
      <c r="P413" s="136"/>
      <c r="Q413" s="136"/>
      <c r="R413" s="136"/>
      <c r="S413" s="136"/>
      <c r="T413" s="136"/>
      <c r="U413" s="136"/>
      <c r="V413" s="136"/>
      <c r="W413" s="136"/>
      <c r="X413" s="136"/>
      <c r="Y413" s="136"/>
      <c r="Z413" s="136"/>
      <c r="AA413" s="231"/>
    </row>
    <row r="414" spans="1:27" x14ac:dyDescent="0.2">
      <c r="A414" s="39"/>
      <c r="B414" s="39"/>
      <c r="C414" s="43"/>
      <c r="D414" s="43"/>
      <c r="E414" s="43"/>
      <c r="F414" s="132"/>
      <c r="G414" s="41" t="e">
        <f>VLOOKUP(F414,Pcode!A:B,2,FALSE)</f>
        <v>#N/A</v>
      </c>
      <c r="H414" s="41"/>
      <c r="I414" s="41" t="e">
        <f>VLOOKUP(H414,Pcode!C:D,2,FALSE)</f>
        <v>#N/A</v>
      </c>
      <c r="J414" s="41"/>
      <c r="K414" s="160"/>
      <c r="L414" s="160"/>
      <c r="M414" s="46"/>
      <c r="N414" s="136"/>
      <c r="O414" s="136"/>
      <c r="P414" s="136"/>
      <c r="Q414" s="136"/>
      <c r="R414" s="136"/>
      <c r="S414" s="136"/>
      <c r="T414" s="136"/>
      <c r="U414" s="136"/>
      <c r="V414" s="136"/>
      <c r="W414" s="136"/>
      <c r="X414" s="136"/>
      <c r="Y414" s="136"/>
      <c r="Z414" s="136"/>
      <c r="AA414" s="231"/>
    </row>
    <row r="415" spans="1:27" x14ac:dyDescent="0.2">
      <c r="A415" s="39"/>
      <c r="B415" s="39"/>
      <c r="C415" s="43"/>
      <c r="D415" s="43"/>
      <c r="E415" s="43"/>
      <c r="F415" s="132"/>
      <c r="G415" s="41" t="e">
        <f>VLOOKUP(F415,Pcode!A:B,2,FALSE)</f>
        <v>#N/A</v>
      </c>
      <c r="H415" s="41"/>
      <c r="I415" s="41" t="e">
        <f>VLOOKUP(H415,Pcode!C:D,2,FALSE)</f>
        <v>#N/A</v>
      </c>
      <c r="J415" s="41"/>
      <c r="K415" s="160"/>
      <c r="L415" s="160"/>
      <c r="M415" s="46"/>
      <c r="N415" s="136"/>
      <c r="O415" s="136"/>
      <c r="P415" s="136"/>
      <c r="Q415" s="136"/>
      <c r="R415" s="136"/>
      <c r="S415" s="136"/>
      <c r="T415" s="136"/>
      <c r="U415" s="136"/>
      <c r="V415" s="136"/>
      <c r="W415" s="136"/>
      <c r="X415" s="136"/>
      <c r="Y415" s="136"/>
      <c r="Z415" s="136"/>
      <c r="AA415" s="231"/>
    </row>
    <row r="416" spans="1:27" x14ac:dyDescent="0.2">
      <c r="A416" s="39"/>
      <c r="B416" s="39"/>
      <c r="C416" s="43"/>
      <c r="D416" s="43"/>
      <c r="E416" s="43"/>
      <c r="F416" s="132"/>
      <c r="G416" s="41" t="e">
        <f>VLOOKUP(F416,Pcode!A:B,2,FALSE)</f>
        <v>#N/A</v>
      </c>
      <c r="H416" s="41"/>
      <c r="I416" s="41" t="e">
        <f>VLOOKUP(H416,Pcode!C:D,2,FALSE)</f>
        <v>#N/A</v>
      </c>
      <c r="J416" s="41"/>
      <c r="K416" s="160"/>
      <c r="L416" s="160"/>
      <c r="M416" s="46"/>
      <c r="N416" s="136"/>
      <c r="O416" s="136"/>
      <c r="P416" s="136"/>
      <c r="Q416" s="136"/>
      <c r="R416" s="136"/>
      <c r="S416" s="136"/>
      <c r="T416" s="136"/>
      <c r="U416" s="136"/>
      <c r="V416" s="136"/>
      <c r="W416" s="136"/>
      <c r="X416" s="136"/>
      <c r="Y416" s="136"/>
      <c r="Z416" s="136"/>
      <c r="AA416" s="231"/>
    </row>
    <row r="417" spans="1:27" x14ac:dyDescent="0.2">
      <c r="A417" s="39"/>
      <c r="B417" s="39"/>
      <c r="C417" s="43"/>
      <c r="D417" s="43"/>
      <c r="E417" s="43"/>
      <c r="F417" s="132"/>
      <c r="G417" s="41" t="e">
        <f>VLOOKUP(F417,Pcode!A:B,2,FALSE)</f>
        <v>#N/A</v>
      </c>
      <c r="H417" s="41"/>
      <c r="I417" s="41" t="e">
        <f>VLOOKUP(H417,Pcode!C:D,2,FALSE)</f>
        <v>#N/A</v>
      </c>
      <c r="J417" s="41"/>
      <c r="K417" s="160"/>
      <c r="L417" s="160"/>
      <c r="M417" s="46"/>
      <c r="N417" s="136"/>
      <c r="O417" s="136"/>
      <c r="P417" s="136"/>
      <c r="Q417" s="136"/>
      <c r="R417" s="136"/>
      <c r="S417" s="136"/>
      <c r="T417" s="136"/>
      <c r="U417" s="136"/>
      <c r="V417" s="136"/>
      <c r="W417" s="136"/>
      <c r="X417" s="136"/>
      <c r="Y417" s="136"/>
      <c r="Z417" s="136"/>
      <c r="AA417" s="231"/>
    </row>
    <row r="418" spans="1:27" x14ac:dyDescent="0.2">
      <c r="A418" s="39"/>
      <c r="B418" s="39"/>
      <c r="C418" s="43"/>
      <c r="D418" s="43"/>
      <c r="E418" s="43"/>
      <c r="F418" s="132"/>
      <c r="G418" s="41" t="e">
        <f>VLOOKUP(F418,Pcode!A:B,2,FALSE)</f>
        <v>#N/A</v>
      </c>
      <c r="H418" s="41"/>
      <c r="I418" s="41" t="e">
        <f>VLOOKUP(H418,Pcode!C:D,2,FALSE)</f>
        <v>#N/A</v>
      </c>
      <c r="J418" s="41"/>
      <c r="K418" s="160"/>
      <c r="L418" s="160"/>
      <c r="M418" s="46"/>
      <c r="N418" s="136"/>
      <c r="O418" s="136"/>
      <c r="P418" s="136"/>
      <c r="Q418" s="136"/>
      <c r="R418" s="136"/>
      <c r="S418" s="136"/>
      <c r="T418" s="136"/>
      <c r="U418" s="136"/>
      <c r="V418" s="136"/>
      <c r="W418" s="136"/>
      <c r="X418" s="136"/>
      <c r="Y418" s="136"/>
      <c r="Z418" s="136"/>
      <c r="AA418" s="231"/>
    </row>
    <row r="419" spans="1:27" x14ac:dyDescent="0.2">
      <c r="A419" s="39"/>
      <c r="B419" s="39"/>
      <c r="C419" s="43"/>
      <c r="D419" s="43"/>
      <c r="E419" s="43"/>
      <c r="F419" s="132"/>
      <c r="G419" s="41" t="e">
        <f>VLOOKUP(F419,Pcode!A:B,2,FALSE)</f>
        <v>#N/A</v>
      </c>
      <c r="H419" s="41"/>
      <c r="I419" s="41" t="e">
        <f>VLOOKUP(H419,Pcode!C:D,2,FALSE)</f>
        <v>#N/A</v>
      </c>
      <c r="J419" s="41"/>
      <c r="K419" s="160"/>
      <c r="L419" s="160"/>
      <c r="M419" s="46"/>
      <c r="N419" s="136"/>
      <c r="O419" s="136"/>
      <c r="P419" s="136"/>
      <c r="Q419" s="136"/>
      <c r="R419" s="136"/>
      <c r="S419" s="136"/>
      <c r="T419" s="136"/>
      <c r="U419" s="136"/>
      <c r="V419" s="136"/>
      <c r="W419" s="136"/>
      <c r="X419" s="136"/>
      <c r="Y419" s="136"/>
      <c r="Z419" s="136"/>
      <c r="AA419" s="231"/>
    </row>
    <row r="420" spans="1:27" x14ac:dyDescent="0.2">
      <c r="A420" s="39"/>
      <c r="B420" s="39"/>
      <c r="C420" s="43"/>
      <c r="D420" s="43"/>
      <c r="E420" s="43"/>
      <c r="F420" s="132"/>
      <c r="G420" s="41" t="e">
        <f>VLOOKUP(F420,Pcode!A:B,2,FALSE)</f>
        <v>#N/A</v>
      </c>
      <c r="H420" s="41"/>
      <c r="I420" s="41" t="e">
        <f>VLOOKUP(H420,Pcode!C:D,2,FALSE)</f>
        <v>#N/A</v>
      </c>
      <c r="J420" s="41"/>
      <c r="K420" s="160"/>
      <c r="L420" s="160"/>
      <c r="M420" s="46"/>
      <c r="N420" s="136"/>
      <c r="O420" s="136"/>
      <c r="P420" s="136"/>
      <c r="Q420" s="136"/>
      <c r="R420" s="136"/>
      <c r="S420" s="136"/>
      <c r="T420" s="136"/>
      <c r="U420" s="136"/>
      <c r="V420" s="136"/>
      <c r="W420" s="136"/>
      <c r="X420" s="136"/>
      <c r="Y420" s="136"/>
      <c r="Z420" s="136"/>
      <c r="AA420" s="231"/>
    </row>
    <row r="421" spans="1:27" x14ac:dyDescent="0.2">
      <c r="A421" s="39"/>
      <c r="B421" s="39"/>
      <c r="C421" s="43"/>
      <c r="D421" s="43"/>
      <c r="E421" s="43"/>
      <c r="F421" s="132"/>
      <c r="G421" s="41" t="e">
        <f>VLOOKUP(F421,Pcode!A:B,2,FALSE)</f>
        <v>#N/A</v>
      </c>
      <c r="H421" s="41"/>
      <c r="I421" s="41" t="e">
        <f>VLOOKUP(H421,Pcode!C:D,2,FALSE)</f>
        <v>#N/A</v>
      </c>
      <c r="J421" s="41"/>
      <c r="K421" s="160"/>
      <c r="L421" s="160"/>
      <c r="M421" s="46"/>
      <c r="N421" s="136"/>
      <c r="O421" s="136"/>
      <c r="P421" s="136"/>
      <c r="Q421" s="136"/>
      <c r="R421" s="136"/>
      <c r="S421" s="136"/>
      <c r="T421" s="136"/>
      <c r="U421" s="136"/>
      <c r="V421" s="136"/>
      <c r="W421" s="136"/>
      <c r="X421" s="136"/>
      <c r="Y421" s="136"/>
      <c r="Z421" s="136"/>
      <c r="AA421" s="231"/>
    </row>
    <row r="422" spans="1:27" x14ac:dyDescent="0.2">
      <c r="A422" s="39"/>
      <c r="B422" s="39"/>
      <c r="C422" s="43"/>
      <c r="D422" s="43"/>
      <c r="E422" s="43"/>
      <c r="F422" s="132"/>
      <c r="G422" s="41" t="e">
        <f>VLOOKUP(F422,Pcode!A:B,2,FALSE)</f>
        <v>#N/A</v>
      </c>
      <c r="H422" s="41"/>
      <c r="I422" s="41" t="e">
        <f>VLOOKUP(H422,Pcode!C:D,2,FALSE)</f>
        <v>#N/A</v>
      </c>
      <c r="J422" s="41"/>
      <c r="K422" s="160"/>
      <c r="L422" s="160"/>
      <c r="M422" s="46"/>
      <c r="N422" s="136"/>
      <c r="O422" s="136"/>
      <c r="P422" s="136"/>
      <c r="Q422" s="136"/>
      <c r="R422" s="136"/>
      <c r="S422" s="136"/>
      <c r="T422" s="136"/>
      <c r="U422" s="136"/>
      <c r="V422" s="136"/>
      <c r="W422" s="136"/>
      <c r="X422" s="136"/>
      <c r="Y422" s="136"/>
      <c r="Z422" s="136"/>
      <c r="AA422" s="231"/>
    </row>
    <row r="423" spans="1:27" x14ac:dyDescent="0.2">
      <c r="A423" s="39"/>
      <c r="B423" s="39"/>
      <c r="C423" s="43"/>
      <c r="D423" s="43"/>
      <c r="E423" s="43"/>
      <c r="F423" s="132"/>
      <c r="G423" s="41" t="e">
        <f>VLOOKUP(F423,Pcode!A:B,2,FALSE)</f>
        <v>#N/A</v>
      </c>
      <c r="H423" s="41"/>
      <c r="I423" s="41" t="e">
        <f>VLOOKUP(H423,Pcode!C:D,2,FALSE)</f>
        <v>#N/A</v>
      </c>
      <c r="J423" s="41"/>
      <c r="K423" s="160"/>
      <c r="L423" s="160"/>
      <c r="M423" s="46"/>
      <c r="N423" s="136"/>
      <c r="O423" s="136"/>
      <c r="P423" s="136"/>
      <c r="Q423" s="136"/>
      <c r="R423" s="136"/>
      <c r="S423" s="136"/>
      <c r="T423" s="136"/>
      <c r="U423" s="136"/>
      <c r="V423" s="136"/>
      <c r="W423" s="136"/>
      <c r="X423" s="136"/>
      <c r="Y423" s="136"/>
      <c r="Z423" s="136"/>
      <c r="AA423" s="231"/>
    </row>
    <row r="424" spans="1:27" x14ac:dyDescent="0.2">
      <c r="A424" s="39"/>
      <c r="B424" s="39"/>
      <c r="C424" s="43"/>
      <c r="D424" s="43"/>
      <c r="E424" s="43"/>
      <c r="F424" s="132"/>
      <c r="G424" s="41" t="e">
        <f>VLOOKUP(F424,Pcode!A:B,2,FALSE)</f>
        <v>#N/A</v>
      </c>
      <c r="H424" s="41"/>
      <c r="I424" s="41" t="e">
        <f>VLOOKUP(H424,Pcode!C:D,2,FALSE)</f>
        <v>#N/A</v>
      </c>
      <c r="J424" s="41"/>
      <c r="K424" s="160"/>
      <c r="L424" s="160"/>
      <c r="M424" s="46"/>
      <c r="N424" s="136"/>
      <c r="O424" s="136"/>
      <c r="P424" s="136"/>
      <c r="Q424" s="136"/>
      <c r="R424" s="136"/>
      <c r="S424" s="136"/>
      <c r="T424" s="136"/>
      <c r="U424" s="136"/>
      <c r="V424" s="136"/>
      <c r="W424" s="136"/>
      <c r="X424" s="136"/>
      <c r="Y424" s="136"/>
      <c r="Z424" s="136"/>
      <c r="AA424" s="231"/>
    </row>
    <row r="425" spans="1:27" x14ac:dyDescent="0.2">
      <c r="A425" s="39"/>
      <c r="B425" s="39"/>
      <c r="C425" s="43"/>
      <c r="D425" s="43"/>
      <c r="E425" s="43"/>
      <c r="F425" s="132"/>
      <c r="G425" s="41" t="e">
        <f>VLOOKUP(F425,Pcode!A:B,2,FALSE)</f>
        <v>#N/A</v>
      </c>
      <c r="H425" s="41"/>
      <c r="I425" s="41" t="e">
        <f>VLOOKUP(H425,Pcode!C:D,2,FALSE)</f>
        <v>#N/A</v>
      </c>
      <c r="J425" s="41"/>
      <c r="K425" s="160"/>
      <c r="L425" s="160"/>
      <c r="M425" s="46"/>
      <c r="N425" s="136"/>
      <c r="O425" s="136"/>
      <c r="P425" s="136"/>
      <c r="Q425" s="136"/>
      <c r="R425" s="136"/>
      <c r="S425" s="136"/>
      <c r="T425" s="136"/>
      <c r="U425" s="136"/>
      <c r="V425" s="136"/>
      <c r="W425" s="136"/>
      <c r="X425" s="136"/>
      <c r="Y425" s="136"/>
      <c r="Z425" s="136"/>
      <c r="AA425" s="231"/>
    </row>
    <row r="426" spans="1:27" x14ac:dyDescent="0.2">
      <c r="A426" s="39"/>
      <c r="B426" s="39"/>
      <c r="C426" s="43"/>
      <c r="D426" s="43"/>
      <c r="E426" s="43"/>
      <c r="F426" s="132"/>
      <c r="G426" s="41" t="e">
        <f>VLOOKUP(F426,Pcode!A:B,2,FALSE)</f>
        <v>#N/A</v>
      </c>
      <c r="H426" s="41"/>
      <c r="I426" s="41" t="e">
        <f>VLOOKUP(H426,Pcode!C:D,2,FALSE)</f>
        <v>#N/A</v>
      </c>
      <c r="J426" s="41"/>
      <c r="K426" s="160"/>
      <c r="L426" s="160"/>
      <c r="M426" s="46"/>
      <c r="N426" s="136"/>
      <c r="O426" s="136"/>
      <c r="P426" s="136"/>
      <c r="Q426" s="136"/>
      <c r="R426" s="136"/>
      <c r="S426" s="136"/>
      <c r="T426" s="136"/>
      <c r="U426" s="136"/>
      <c r="V426" s="136"/>
      <c r="W426" s="136"/>
      <c r="X426" s="136"/>
      <c r="Y426" s="136"/>
      <c r="Z426" s="136"/>
      <c r="AA426" s="231"/>
    </row>
    <row r="427" spans="1:27" x14ac:dyDescent="0.2">
      <c r="A427" s="39"/>
      <c r="B427" s="39"/>
      <c r="C427" s="43"/>
      <c r="D427" s="43"/>
      <c r="E427" s="43"/>
      <c r="F427" s="132"/>
      <c r="G427" s="41" t="e">
        <f>VLOOKUP(F427,Pcode!A:B,2,FALSE)</f>
        <v>#N/A</v>
      </c>
      <c r="H427" s="41"/>
      <c r="I427" s="41" t="e">
        <f>VLOOKUP(H427,Pcode!C:D,2,FALSE)</f>
        <v>#N/A</v>
      </c>
      <c r="J427" s="41"/>
      <c r="K427" s="160"/>
      <c r="L427" s="160"/>
      <c r="M427" s="46"/>
      <c r="N427" s="136"/>
      <c r="O427" s="136"/>
      <c r="P427" s="136"/>
      <c r="Q427" s="136"/>
      <c r="R427" s="136"/>
      <c r="S427" s="136"/>
      <c r="T427" s="136"/>
      <c r="U427" s="136"/>
      <c r="V427" s="136"/>
      <c r="W427" s="136"/>
      <c r="X427" s="136"/>
      <c r="Y427" s="136"/>
      <c r="Z427" s="136"/>
      <c r="AA427" s="231"/>
    </row>
    <row r="428" spans="1:27" x14ac:dyDescent="0.2">
      <c r="A428" s="39"/>
      <c r="B428" s="39"/>
      <c r="C428" s="43"/>
      <c r="D428" s="43"/>
      <c r="E428" s="43"/>
      <c r="F428" s="132"/>
      <c r="G428" s="41" t="e">
        <f>VLOOKUP(F428,Pcode!A:B,2,FALSE)</f>
        <v>#N/A</v>
      </c>
      <c r="H428" s="41"/>
      <c r="I428" s="41" t="e">
        <f>VLOOKUP(H428,Pcode!C:D,2,FALSE)</f>
        <v>#N/A</v>
      </c>
      <c r="J428" s="41"/>
      <c r="K428" s="160"/>
      <c r="L428" s="160"/>
      <c r="M428" s="46"/>
      <c r="N428" s="136"/>
      <c r="O428" s="136"/>
      <c r="P428" s="136"/>
      <c r="Q428" s="136"/>
      <c r="R428" s="136"/>
      <c r="S428" s="136"/>
      <c r="T428" s="136"/>
      <c r="U428" s="136"/>
      <c r="V428" s="136"/>
      <c r="W428" s="136"/>
      <c r="X428" s="136"/>
      <c r="Y428" s="136"/>
      <c r="Z428" s="136"/>
      <c r="AA428" s="231"/>
    </row>
    <row r="429" spans="1:27" x14ac:dyDescent="0.2">
      <c r="A429" s="39"/>
      <c r="B429" s="39"/>
      <c r="C429" s="43"/>
      <c r="D429" s="43"/>
      <c r="E429" s="43"/>
      <c r="F429" s="132"/>
      <c r="G429" s="41" t="e">
        <f>VLOOKUP(F429,Pcode!A:B,2,FALSE)</f>
        <v>#N/A</v>
      </c>
      <c r="H429" s="41"/>
      <c r="I429" s="41" t="e">
        <f>VLOOKUP(H429,Pcode!C:D,2,FALSE)</f>
        <v>#N/A</v>
      </c>
      <c r="J429" s="41"/>
      <c r="K429" s="160"/>
      <c r="L429" s="160"/>
      <c r="M429" s="46"/>
      <c r="N429" s="136"/>
      <c r="O429" s="136"/>
      <c r="P429" s="136"/>
      <c r="Q429" s="136"/>
      <c r="R429" s="136"/>
      <c r="S429" s="136"/>
      <c r="T429" s="136"/>
      <c r="U429" s="136"/>
      <c r="V429" s="136"/>
      <c r="W429" s="136"/>
      <c r="X429" s="136"/>
      <c r="Y429" s="136"/>
      <c r="Z429" s="136"/>
      <c r="AA429" s="231"/>
    </row>
    <row r="430" spans="1:27" x14ac:dyDescent="0.2">
      <c r="A430" s="39"/>
      <c r="B430" s="39"/>
      <c r="C430" s="43"/>
      <c r="D430" s="43"/>
      <c r="E430" s="43"/>
      <c r="F430" s="132"/>
      <c r="G430" s="41" t="e">
        <f>VLOOKUP(F430,Pcode!A:B,2,FALSE)</f>
        <v>#N/A</v>
      </c>
      <c r="H430" s="41"/>
      <c r="I430" s="41" t="e">
        <f>VLOOKUP(H430,Pcode!C:D,2,FALSE)</f>
        <v>#N/A</v>
      </c>
      <c r="J430" s="41"/>
      <c r="K430" s="160"/>
      <c r="L430" s="160"/>
      <c r="M430" s="46"/>
      <c r="N430" s="136"/>
      <c r="O430" s="136"/>
      <c r="P430" s="136"/>
      <c r="Q430" s="136"/>
      <c r="R430" s="136"/>
      <c r="S430" s="136"/>
      <c r="T430" s="136"/>
      <c r="U430" s="136"/>
      <c r="V430" s="136"/>
      <c r="W430" s="136"/>
      <c r="X430" s="136"/>
      <c r="Y430" s="136"/>
      <c r="Z430" s="136"/>
      <c r="AA430" s="231"/>
    </row>
    <row r="431" spans="1:27" x14ac:dyDescent="0.2">
      <c r="A431" s="39"/>
      <c r="B431" s="39"/>
      <c r="C431" s="43"/>
      <c r="D431" s="43"/>
      <c r="E431" s="43"/>
      <c r="F431" s="132"/>
      <c r="G431" s="41" t="e">
        <f>VLOOKUP(F431,Pcode!A:B,2,FALSE)</f>
        <v>#N/A</v>
      </c>
      <c r="H431" s="41"/>
      <c r="I431" s="41" t="e">
        <f>VLOOKUP(H431,Pcode!C:D,2,FALSE)</f>
        <v>#N/A</v>
      </c>
      <c r="J431" s="41"/>
      <c r="K431" s="160"/>
      <c r="L431" s="160"/>
      <c r="M431" s="46"/>
      <c r="N431" s="136"/>
      <c r="O431" s="136"/>
      <c r="P431" s="136"/>
      <c r="Q431" s="136"/>
      <c r="R431" s="136"/>
      <c r="S431" s="136"/>
      <c r="T431" s="136"/>
      <c r="U431" s="136"/>
      <c r="V431" s="136"/>
      <c r="W431" s="136"/>
      <c r="X431" s="136"/>
      <c r="Y431" s="136"/>
      <c r="Z431" s="136"/>
      <c r="AA431" s="231"/>
    </row>
    <row r="432" spans="1:27" x14ac:dyDescent="0.2">
      <c r="A432" s="39"/>
      <c r="B432" s="39"/>
      <c r="C432" s="43"/>
      <c r="D432" s="43"/>
      <c r="E432" s="43"/>
      <c r="F432" s="132"/>
      <c r="G432" s="41" t="e">
        <f>VLOOKUP(F432,Pcode!A:B,2,FALSE)</f>
        <v>#N/A</v>
      </c>
      <c r="H432" s="41"/>
      <c r="I432" s="41" t="e">
        <f>VLOOKUP(H432,Pcode!C:D,2,FALSE)</f>
        <v>#N/A</v>
      </c>
      <c r="J432" s="41"/>
      <c r="K432" s="160"/>
      <c r="L432" s="160"/>
      <c r="M432" s="46"/>
      <c r="N432" s="136"/>
      <c r="O432" s="136"/>
      <c r="P432" s="136"/>
      <c r="Q432" s="136"/>
      <c r="R432" s="136"/>
      <c r="S432" s="136"/>
      <c r="T432" s="136"/>
      <c r="U432" s="136"/>
      <c r="V432" s="136"/>
      <c r="W432" s="136"/>
      <c r="X432" s="136"/>
      <c r="Y432" s="136"/>
      <c r="Z432" s="136"/>
      <c r="AA432" s="231"/>
    </row>
    <row r="433" spans="1:27" x14ac:dyDescent="0.2">
      <c r="A433" s="39"/>
      <c r="B433" s="39"/>
      <c r="C433" s="43"/>
      <c r="D433" s="43"/>
      <c r="E433" s="43"/>
      <c r="F433" s="132"/>
      <c r="G433" s="41" t="e">
        <f>VLOOKUP(F433,Pcode!A:B,2,FALSE)</f>
        <v>#N/A</v>
      </c>
      <c r="H433" s="41"/>
      <c r="I433" s="41" t="e">
        <f>VLOOKUP(H433,Pcode!C:D,2,FALSE)</f>
        <v>#N/A</v>
      </c>
      <c r="J433" s="41"/>
      <c r="K433" s="160"/>
      <c r="L433" s="160"/>
      <c r="M433" s="46"/>
      <c r="N433" s="136"/>
      <c r="O433" s="136"/>
      <c r="P433" s="136"/>
      <c r="Q433" s="136"/>
      <c r="R433" s="136"/>
      <c r="S433" s="136"/>
      <c r="T433" s="136"/>
      <c r="U433" s="136"/>
      <c r="V433" s="136"/>
      <c r="W433" s="136"/>
      <c r="X433" s="136"/>
      <c r="Y433" s="136"/>
      <c r="Z433" s="136"/>
      <c r="AA433" s="231"/>
    </row>
    <row r="434" spans="1:27" x14ac:dyDescent="0.2">
      <c r="A434" s="39"/>
      <c r="B434" s="39"/>
      <c r="C434" s="43"/>
      <c r="D434" s="43"/>
      <c r="E434" s="43"/>
      <c r="F434" s="132"/>
      <c r="G434" s="41" t="e">
        <f>VLOOKUP(F434,Pcode!A:B,2,FALSE)</f>
        <v>#N/A</v>
      </c>
      <c r="H434" s="41"/>
      <c r="I434" s="41" t="e">
        <f>VLOOKUP(H434,Pcode!C:D,2,FALSE)</f>
        <v>#N/A</v>
      </c>
      <c r="J434" s="41"/>
      <c r="K434" s="160"/>
      <c r="L434" s="160"/>
      <c r="M434" s="46"/>
      <c r="N434" s="136"/>
      <c r="O434" s="136"/>
      <c r="P434" s="136"/>
      <c r="Q434" s="136"/>
      <c r="R434" s="136"/>
      <c r="S434" s="136"/>
      <c r="T434" s="136"/>
      <c r="U434" s="136"/>
      <c r="V434" s="136"/>
      <c r="W434" s="136"/>
      <c r="X434" s="136"/>
      <c r="Y434" s="136"/>
      <c r="Z434" s="136"/>
      <c r="AA434" s="231"/>
    </row>
    <row r="435" spans="1:27" x14ac:dyDescent="0.2">
      <c r="A435" s="39"/>
      <c r="B435" s="39"/>
      <c r="C435" s="43"/>
      <c r="D435" s="43"/>
      <c r="E435" s="43"/>
      <c r="F435" s="132"/>
      <c r="G435" s="41" t="e">
        <f>VLOOKUP(F435,Pcode!A:B,2,FALSE)</f>
        <v>#N/A</v>
      </c>
      <c r="H435" s="41"/>
      <c r="I435" s="41" t="e">
        <f>VLOOKUP(H435,Pcode!C:D,2,FALSE)</f>
        <v>#N/A</v>
      </c>
      <c r="J435" s="41"/>
      <c r="K435" s="160"/>
      <c r="L435" s="160"/>
      <c r="M435" s="46"/>
      <c r="N435" s="136"/>
      <c r="O435" s="136"/>
      <c r="P435" s="136"/>
      <c r="Q435" s="136"/>
      <c r="R435" s="136"/>
      <c r="S435" s="136"/>
      <c r="T435" s="136"/>
      <c r="U435" s="136"/>
      <c r="V435" s="136"/>
      <c r="W435" s="136"/>
      <c r="X435" s="136"/>
      <c r="Y435" s="136"/>
      <c r="Z435" s="136"/>
      <c r="AA435" s="231"/>
    </row>
    <row r="436" spans="1:27" x14ac:dyDescent="0.2">
      <c r="A436" s="39"/>
      <c r="B436" s="39"/>
      <c r="C436" s="43"/>
      <c r="D436" s="43"/>
      <c r="E436" s="43"/>
      <c r="F436" s="132"/>
      <c r="G436" s="41" t="e">
        <f>VLOOKUP(F436,Pcode!A:B,2,FALSE)</f>
        <v>#N/A</v>
      </c>
      <c r="H436" s="41"/>
      <c r="I436" s="41" t="e">
        <f>VLOOKUP(H436,Pcode!C:D,2,FALSE)</f>
        <v>#N/A</v>
      </c>
      <c r="J436" s="41"/>
      <c r="K436" s="160"/>
      <c r="L436" s="160"/>
      <c r="M436" s="46"/>
      <c r="N436" s="136"/>
      <c r="O436" s="136"/>
      <c r="P436" s="136"/>
      <c r="Q436" s="136"/>
      <c r="R436" s="136"/>
      <c r="S436" s="136"/>
      <c r="T436" s="136"/>
      <c r="U436" s="136"/>
      <c r="V436" s="136"/>
      <c r="W436" s="136"/>
      <c r="X436" s="136"/>
      <c r="Y436" s="136"/>
      <c r="Z436" s="136"/>
      <c r="AA436" s="231"/>
    </row>
    <row r="437" spans="1:27" x14ac:dyDescent="0.2">
      <c r="A437" s="39"/>
      <c r="B437" s="39"/>
      <c r="C437" s="43"/>
      <c r="D437" s="43"/>
      <c r="E437" s="43"/>
      <c r="F437" s="132"/>
      <c r="G437" s="41" t="e">
        <f>VLOOKUP(F437,Pcode!A:B,2,FALSE)</f>
        <v>#N/A</v>
      </c>
      <c r="H437" s="41"/>
      <c r="I437" s="41" t="e">
        <f>VLOOKUP(H437,Pcode!C:D,2,FALSE)</f>
        <v>#N/A</v>
      </c>
      <c r="J437" s="41"/>
      <c r="K437" s="160"/>
      <c r="L437" s="160"/>
      <c r="M437" s="46"/>
      <c r="N437" s="136"/>
      <c r="O437" s="136"/>
      <c r="P437" s="136"/>
      <c r="Q437" s="136"/>
      <c r="R437" s="136"/>
      <c r="S437" s="136"/>
      <c r="T437" s="136"/>
      <c r="U437" s="136"/>
      <c r="V437" s="136"/>
      <c r="W437" s="136"/>
      <c r="X437" s="136"/>
      <c r="Y437" s="136"/>
      <c r="Z437" s="136"/>
      <c r="AA437" s="231"/>
    </row>
    <row r="438" spans="1:27" x14ac:dyDescent="0.2">
      <c r="A438" s="39"/>
      <c r="B438" s="39"/>
      <c r="C438" s="43"/>
      <c r="D438" s="43"/>
      <c r="E438" s="43"/>
      <c r="F438" s="132"/>
      <c r="G438" s="41" t="e">
        <f>VLOOKUP(F438,Pcode!A:B,2,FALSE)</f>
        <v>#N/A</v>
      </c>
      <c r="H438" s="41"/>
      <c r="I438" s="41" t="e">
        <f>VLOOKUP(H438,Pcode!C:D,2,FALSE)</f>
        <v>#N/A</v>
      </c>
      <c r="J438" s="41"/>
      <c r="K438" s="160"/>
      <c r="L438" s="160"/>
      <c r="M438" s="46"/>
      <c r="N438" s="136"/>
      <c r="O438" s="136"/>
      <c r="P438" s="136"/>
      <c r="Q438" s="136"/>
      <c r="R438" s="136"/>
      <c r="S438" s="136"/>
      <c r="T438" s="136"/>
      <c r="U438" s="136"/>
      <c r="V438" s="136"/>
      <c r="W438" s="136"/>
      <c r="X438" s="136"/>
      <c r="Y438" s="136"/>
      <c r="Z438" s="136"/>
      <c r="AA438" s="231"/>
    </row>
    <row r="439" spans="1:27" x14ac:dyDescent="0.2">
      <c r="A439" s="39"/>
      <c r="B439" s="39"/>
      <c r="C439" s="43"/>
      <c r="D439" s="43"/>
      <c r="E439" s="43"/>
      <c r="F439" s="132"/>
      <c r="G439" s="41" t="e">
        <f>VLOOKUP(F439,Pcode!A:B,2,FALSE)</f>
        <v>#N/A</v>
      </c>
      <c r="H439" s="41"/>
      <c r="I439" s="41" t="e">
        <f>VLOOKUP(H439,Pcode!C:D,2,FALSE)</f>
        <v>#N/A</v>
      </c>
      <c r="J439" s="41"/>
      <c r="K439" s="160"/>
      <c r="L439" s="160"/>
      <c r="M439" s="46"/>
      <c r="N439" s="136"/>
      <c r="O439" s="136"/>
      <c r="P439" s="136"/>
      <c r="Q439" s="136"/>
      <c r="R439" s="136"/>
      <c r="S439" s="136"/>
      <c r="T439" s="136"/>
      <c r="U439" s="136"/>
      <c r="V439" s="136"/>
      <c r="W439" s="136"/>
      <c r="X439" s="136"/>
      <c r="Y439" s="136"/>
      <c r="Z439" s="136"/>
      <c r="AA439" s="231"/>
    </row>
    <row r="440" spans="1:27" x14ac:dyDescent="0.2">
      <c r="A440" s="39"/>
      <c r="B440" s="39"/>
      <c r="C440" s="43"/>
      <c r="D440" s="43"/>
      <c r="E440" s="43"/>
      <c r="F440" s="132"/>
      <c r="G440" s="41" t="e">
        <f>VLOOKUP(F440,Pcode!A:B,2,FALSE)</f>
        <v>#N/A</v>
      </c>
      <c r="H440" s="41"/>
      <c r="I440" s="41" t="e">
        <f>VLOOKUP(H440,Pcode!C:D,2,FALSE)</f>
        <v>#N/A</v>
      </c>
      <c r="J440" s="41"/>
      <c r="K440" s="160"/>
      <c r="L440" s="160"/>
      <c r="M440" s="46"/>
      <c r="N440" s="136"/>
      <c r="O440" s="136"/>
      <c r="P440" s="136"/>
      <c r="Q440" s="136"/>
      <c r="R440" s="136"/>
      <c r="S440" s="136"/>
      <c r="T440" s="136"/>
      <c r="U440" s="136"/>
      <c r="V440" s="136"/>
      <c r="W440" s="136"/>
      <c r="X440" s="136"/>
      <c r="Y440" s="136"/>
      <c r="Z440" s="136"/>
      <c r="AA440" s="231"/>
    </row>
    <row r="441" spans="1:27" x14ac:dyDescent="0.2">
      <c r="A441" s="39"/>
      <c r="B441" s="39"/>
      <c r="C441" s="43"/>
      <c r="D441" s="43"/>
      <c r="E441" s="43"/>
      <c r="F441" s="132"/>
      <c r="G441" s="41" t="e">
        <f>VLOOKUP(F441,Pcode!A:B,2,FALSE)</f>
        <v>#N/A</v>
      </c>
      <c r="H441" s="41"/>
      <c r="I441" s="41" t="e">
        <f>VLOOKUP(H441,Pcode!C:D,2,FALSE)</f>
        <v>#N/A</v>
      </c>
      <c r="J441" s="41"/>
      <c r="K441" s="160"/>
      <c r="L441" s="160"/>
      <c r="M441" s="46"/>
      <c r="N441" s="136"/>
      <c r="O441" s="136"/>
      <c r="P441" s="136"/>
      <c r="Q441" s="136"/>
      <c r="R441" s="136"/>
      <c r="S441" s="136"/>
      <c r="T441" s="136"/>
      <c r="U441" s="136"/>
      <c r="V441" s="136"/>
      <c r="W441" s="136"/>
      <c r="X441" s="136"/>
      <c r="Y441" s="136"/>
      <c r="Z441" s="136"/>
      <c r="AA441" s="231"/>
    </row>
    <row r="442" spans="1:27" x14ac:dyDescent="0.2">
      <c r="A442" s="39"/>
      <c r="B442" s="39"/>
      <c r="C442" s="43"/>
      <c r="D442" s="43"/>
      <c r="E442" s="43"/>
      <c r="F442" s="132"/>
      <c r="G442" s="41" t="e">
        <f>VLOOKUP(F442,Pcode!A:B,2,FALSE)</f>
        <v>#N/A</v>
      </c>
      <c r="H442" s="41"/>
      <c r="I442" s="41" t="e">
        <f>VLOOKUP(H442,Pcode!C:D,2,FALSE)</f>
        <v>#N/A</v>
      </c>
      <c r="J442" s="41"/>
      <c r="K442" s="160"/>
      <c r="L442" s="160"/>
      <c r="M442" s="46"/>
      <c r="N442" s="136"/>
      <c r="O442" s="136"/>
      <c r="P442" s="136"/>
      <c r="Q442" s="136"/>
      <c r="R442" s="136"/>
      <c r="S442" s="136"/>
      <c r="T442" s="136"/>
      <c r="U442" s="136"/>
      <c r="V442" s="136"/>
      <c r="W442" s="136"/>
      <c r="X442" s="136"/>
      <c r="Y442" s="136"/>
      <c r="Z442" s="136"/>
      <c r="AA442" s="231"/>
    </row>
    <row r="443" spans="1:27" x14ac:dyDescent="0.2">
      <c r="A443" s="39"/>
      <c r="B443" s="39"/>
      <c r="C443" s="43"/>
      <c r="D443" s="43"/>
      <c r="E443" s="43"/>
      <c r="F443" s="132"/>
      <c r="G443" s="41" t="e">
        <f>VLOOKUP(F443,Pcode!A:B,2,FALSE)</f>
        <v>#N/A</v>
      </c>
      <c r="H443" s="41"/>
      <c r="I443" s="41" t="e">
        <f>VLOOKUP(H443,Pcode!C:D,2,FALSE)</f>
        <v>#N/A</v>
      </c>
      <c r="J443" s="41"/>
      <c r="K443" s="160"/>
      <c r="L443" s="160"/>
      <c r="M443" s="46"/>
      <c r="N443" s="136"/>
      <c r="O443" s="136"/>
      <c r="P443" s="136"/>
      <c r="Q443" s="136"/>
      <c r="R443" s="136"/>
      <c r="S443" s="136"/>
      <c r="T443" s="136"/>
      <c r="U443" s="136"/>
      <c r="V443" s="136"/>
      <c r="W443" s="136"/>
      <c r="X443" s="136"/>
      <c r="Y443" s="136"/>
      <c r="Z443" s="136"/>
      <c r="AA443" s="231"/>
    </row>
    <row r="444" spans="1:27" x14ac:dyDescent="0.2">
      <c r="A444" s="39"/>
      <c r="B444" s="39"/>
      <c r="C444" s="43"/>
      <c r="D444" s="43"/>
      <c r="E444" s="43"/>
      <c r="F444" s="132"/>
      <c r="G444" s="41" t="e">
        <f>VLOOKUP(F444,Pcode!A:B,2,FALSE)</f>
        <v>#N/A</v>
      </c>
      <c r="H444" s="41"/>
      <c r="I444" s="41" t="e">
        <f>VLOOKUP(H444,Pcode!C:D,2,FALSE)</f>
        <v>#N/A</v>
      </c>
      <c r="J444" s="41"/>
      <c r="K444" s="160"/>
      <c r="L444" s="160"/>
      <c r="M444" s="46"/>
      <c r="N444" s="136"/>
      <c r="O444" s="136"/>
      <c r="P444" s="136"/>
      <c r="Q444" s="136"/>
      <c r="R444" s="136"/>
      <c r="S444" s="136"/>
      <c r="T444" s="136"/>
      <c r="U444" s="136"/>
      <c r="V444" s="136"/>
      <c r="W444" s="136"/>
      <c r="X444" s="136"/>
      <c r="Y444" s="136"/>
      <c r="Z444" s="136"/>
      <c r="AA444" s="231"/>
    </row>
    <row r="445" spans="1:27" x14ac:dyDescent="0.2">
      <c r="A445" s="39"/>
      <c r="B445" s="39"/>
      <c r="C445" s="43"/>
      <c r="D445" s="43"/>
      <c r="E445" s="43"/>
      <c r="F445" s="132"/>
      <c r="G445" s="41" t="e">
        <f>VLOOKUP(F445,Pcode!A:B,2,FALSE)</f>
        <v>#N/A</v>
      </c>
      <c r="H445" s="41"/>
      <c r="I445" s="41" t="e">
        <f>VLOOKUP(H445,Pcode!C:D,2,FALSE)</f>
        <v>#N/A</v>
      </c>
      <c r="J445" s="41"/>
      <c r="K445" s="160"/>
      <c r="L445" s="160"/>
      <c r="M445" s="46"/>
      <c r="N445" s="136"/>
      <c r="O445" s="136"/>
      <c r="P445" s="136"/>
      <c r="Q445" s="136"/>
      <c r="R445" s="136"/>
      <c r="S445" s="136"/>
      <c r="T445" s="136"/>
      <c r="U445" s="136"/>
      <c r="V445" s="136"/>
      <c r="W445" s="136"/>
      <c r="X445" s="136"/>
      <c r="Y445" s="136"/>
      <c r="Z445" s="136"/>
      <c r="AA445" s="231"/>
    </row>
    <row r="446" spans="1:27" x14ac:dyDescent="0.2">
      <c r="A446" s="39"/>
      <c r="B446" s="39"/>
      <c r="C446" s="43"/>
      <c r="D446" s="43"/>
      <c r="E446" s="43"/>
      <c r="F446" s="132"/>
      <c r="G446" s="41" t="e">
        <f>VLOOKUP(F446,Pcode!A:B,2,FALSE)</f>
        <v>#N/A</v>
      </c>
      <c r="H446" s="41"/>
      <c r="I446" s="41" t="e">
        <f>VLOOKUP(H446,Pcode!C:D,2,FALSE)</f>
        <v>#N/A</v>
      </c>
      <c r="J446" s="41"/>
      <c r="K446" s="160"/>
      <c r="L446" s="160"/>
      <c r="M446" s="46"/>
      <c r="N446" s="136"/>
      <c r="O446" s="136"/>
      <c r="P446" s="136"/>
      <c r="Q446" s="136"/>
      <c r="R446" s="136"/>
      <c r="S446" s="136"/>
      <c r="T446" s="136"/>
      <c r="U446" s="136"/>
      <c r="V446" s="136"/>
      <c r="W446" s="136"/>
      <c r="X446" s="136"/>
      <c r="Y446" s="136"/>
      <c r="Z446" s="136"/>
      <c r="AA446" s="231"/>
    </row>
    <row r="447" spans="1:27" x14ac:dyDescent="0.2">
      <c r="A447" s="39"/>
      <c r="B447" s="39"/>
      <c r="C447" s="43"/>
      <c r="D447" s="43"/>
      <c r="E447" s="43"/>
      <c r="F447" s="132"/>
      <c r="G447" s="41" t="e">
        <f>VLOOKUP(F447,Pcode!A:B,2,FALSE)</f>
        <v>#N/A</v>
      </c>
      <c r="H447" s="41"/>
      <c r="I447" s="41" t="e">
        <f>VLOOKUP(H447,Pcode!C:D,2,FALSE)</f>
        <v>#N/A</v>
      </c>
      <c r="J447" s="41"/>
      <c r="K447" s="160"/>
      <c r="L447" s="160"/>
      <c r="M447" s="46"/>
      <c r="N447" s="136"/>
      <c r="O447" s="136"/>
      <c r="P447" s="136"/>
      <c r="Q447" s="136"/>
      <c r="R447" s="136"/>
      <c r="S447" s="136"/>
      <c r="T447" s="136"/>
      <c r="U447" s="136"/>
      <c r="V447" s="136"/>
      <c r="W447" s="136"/>
      <c r="X447" s="136"/>
      <c r="Y447" s="136"/>
      <c r="Z447" s="136"/>
      <c r="AA447" s="231"/>
    </row>
    <row r="448" spans="1:27" x14ac:dyDescent="0.2">
      <c r="A448" s="39"/>
      <c r="B448" s="39"/>
      <c r="C448" s="43"/>
      <c r="D448" s="43"/>
      <c r="E448" s="43"/>
      <c r="F448" s="132"/>
      <c r="G448" s="41" t="e">
        <f>VLOOKUP(F448,Pcode!A:B,2,FALSE)</f>
        <v>#N/A</v>
      </c>
      <c r="H448" s="41"/>
      <c r="I448" s="41" t="e">
        <f>VLOOKUP(H448,Pcode!C:D,2,FALSE)</f>
        <v>#N/A</v>
      </c>
      <c r="J448" s="41"/>
      <c r="K448" s="160"/>
      <c r="L448" s="160"/>
      <c r="M448" s="46"/>
      <c r="N448" s="136"/>
      <c r="O448" s="136"/>
      <c r="P448" s="136"/>
      <c r="Q448" s="136"/>
      <c r="R448" s="136"/>
      <c r="S448" s="136"/>
      <c r="T448" s="136"/>
      <c r="U448" s="136"/>
      <c r="V448" s="136"/>
      <c r="W448" s="136"/>
      <c r="X448" s="136"/>
      <c r="Y448" s="136"/>
      <c r="Z448" s="136"/>
      <c r="AA448" s="231"/>
    </row>
    <row r="449" spans="1:27" x14ac:dyDescent="0.2">
      <c r="A449" s="39"/>
      <c r="B449" s="39"/>
      <c r="C449" s="43"/>
      <c r="D449" s="43"/>
      <c r="E449" s="43"/>
      <c r="F449" s="132"/>
      <c r="G449" s="41" t="e">
        <f>VLOOKUP(F449,Pcode!A:B,2,FALSE)</f>
        <v>#N/A</v>
      </c>
      <c r="H449" s="41"/>
      <c r="I449" s="41" t="e">
        <f>VLOOKUP(H449,Pcode!C:D,2,FALSE)</f>
        <v>#N/A</v>
      </c>
      <c r="J449" s="41"/>
      <c r="K449" s="160"/>
      <c r="L449" s="160"/>
      <c r="M449" s="46"/>
      <c r="N449" s="136"/>
      <c r="O449" s="136"/>
      <c r="P449" s="136"/>
      <c r="Q449" s="136"/>
      <c r="R449" s="136"/>
      <c r="S449" s="136"/>
      <c r="T449" s="136"/>
      <c r="U449" s="136"/>
      <c r="V449" s="136"/>
      <c r="W449" s="136"/>
      <c r="X449" s="136"/>
      <c r="Y449" s="136"/>
      <c r="Z449" s="136"/>
      <c r="AA449" s="231"/>
    </row>
    <row r="450" spans="1:27" x14ac:dyDescent="0.2">
      <c r="A450" s="39"/>
      <c r="B450" s="39"/>
      <c r="C450" s="43"/>
      <c r="D450" s="43"/>
      <c r="E450" s="43"/>
      <c r="F450" s="132"/>
      <c r="G450" s="41" t="e">
        <f>VLOOKUP(F450,Pcode!A:B,2,FALSE)</f>
        <v>#N/A</v>
      </c>
      <c r="H450" s="41"/>
      <c r="I450" s="41" t="e">
        <f>VLOOKUP(H450,Pcode!C:D,2,FALSE)</f>
        <v>#N/A</v>
      </c>
      <c r="J450" s="41"/>
      <c r="K450" s="160"/>
      <c r="L450" s="160"/>
      <c r="M450" s="46"/>
      <c r="N450" s="136"/>
      <c r="O450" s="136"/>
      <c r="P450" s="136"/>
      <c r="Q450" s="136"/>
      <c r="R450" s="136"/>
      <c r="S450" s="136"/>
      <c r="T450" s="136"/>
      <c r="U450" s="136"/>
      <c r="V450" s="136"/>
      <c r="W450" s="136"/>
      <c r="X450" s="136"/>
      <c r="Y450" s="136"/>
      <c r="Z450" s="136"/>
      <c r="AA450" s="231"/>
    </row>
    <row r="451" spans="1:27" x14ac:dyDescent="0.2">
      <c r="A451" s="39"/>
      <c r="B451" s="39"/>
      <c r="C451" s="43"/>
      <c r="D451" s="43"/>
      <c r="E451" s="43"/>
      <c r="F451" s="132"/>
      <c r="G451" s="41" t="e">
        <f>VLOOKUP(F451,Pcode!A:B,2,FALSE)</f>
        <v>#N/A</v>
      </c>
      <c r="H451" s="41"/>
      <c r="I451" s="41" t="e">
        <f>VLOOKUP(H451,Pcode!C:D,2,FALSE)</f>
        <v>#N/A</v>
      </c>
      <c r="J451" s="41"/>
      <c r="K451" s="160"/>
      <c r="L451" s="160"/>
      <c r="M451" s="46"/>
      <c r="N451" s="136"/>
      <c r="O451" s="136"/>
      <c r="P451" s="136"/>
      <c r="Q451" s="136"/>
      <c r="R451" s="136"/>
      <c r="S451" s="136"/>
      <c r="T451" s="136"/>
      <c r="U451" s="136"/>
      <c r="V451" s="136"/>
      <c r="W451" s="136"/>
      <c r="X451" s="136"/>
      <c r="Y451" s="136"/>
      <c r="Z451" s="136"/>
      <c r="AA451" s="231"/>
    </row>
    <row r="452" spans="1:27" x14ac:dyDescent="0.2">
      <c r="A452" s="39"/>
      <c r="B452" s="39"/>
      <c r="C452" s="43"/>
      <c r="D452" s="43"/>
      <c r="E452" s="43"/>
      <c r="F452" s="132"/>
      <c r="G452" s="41" t="e">
        <f>VLOOKUP(F452,Pcode!A:B,2,FALSE)</f>
        <v>#N/A</v>
      </c>
      <c r="H452" s="41"/>
      <c r="I452" s="41" t="e">
        <f>VLOOKUP(H452,Pcode!C:D,2,FALSE)</f>
        <v>#N/A</v>
      </c>
      <c r="J452" s="41"/>
      <c r="K452" s="160"/>
      <c r="L452" s="160"/>
      <c r="M452" s="46"/>
      <c r="N452" s="136"/>
      <c r="O452" s="136"/>
      <c r="P452" s="136"/>
      <c r="Q452" s="136"/>
      <c r="R452" s="136"/>
      <c r="S452" s="136"/>
      <c r="T452" s="136"/>
      <c r="U452" s="136"/>
      <c r="V452" s="136"/>
      <c r="W452" s="136"/>
      <c r="X452" s="136"/>
      <c r="Y452" s="136"/>
      <c r="Z452" s="136"/>
      <c r="AA452" s="231"/>
    </row>
    <row r="453" spans="1:27" x14ac:dyDescent="0.2">
      <c r="A453" s="39"/>
      <c r="B453" s="39"/>
      <c r="C453" s="43"/>
      <c r="D453" s="43"/>
      <c r="E453" s="43"/>
      <c r="F453" s="132"/>
      <c r="G453" s="41" t="e">
        <f>VLOOKUP(F453,Pcode!A:B,2,FALSE)</f>
        <v>#N/A</v>
      </c>
      <c r="H453" s="41"/>
      <c r="I453" s="41" t="e">
        <f>VLOOKUP(H453,Pcode!C:D,2,FALSE)</f>
        <v>#N/A</v>
      </c>
      <c r="J453" s="41"/>
      <c r="K453" s="160"/>
      <c r="L453" s="160"/>
      <c r="M453" s="46"/>
      <c r="N453" s="136"/>
      <c r="O453" s="136"/>
      <c r="P453" s="136"/>
      <c r="Q453" s="136"/>
      <c r="R453" s="136"/>
      <c r="S453" s="136"/>
      <c r="T453" s="136"/>
      <c r="U453" s="136"/>
      <c r="V453" s="136"/>
      <c r="W453" s="136"/>
      <c r="X453" s="136"/>
      <c r="Y453" s="136"/>
      <c r="Z453" s="136"/>
      <c r="AA453" s="231"/>
    </row>
    <row r="454" spans="1:27" x14ac:dyDescent="0.2">
      <c r="A454" s="39"/>
      <c r="B454" s="39"/>
      <c r="C454" s="43"/>
      <c r="D454" s="43"/>
      <c r="E454" s="43"/>
      <c r="F454" s="132"/>
      <c r="G454" s="41" t="e">
        <f>VLOOKUP(F454,Pcode!A:B,2,FALSE)</f>
        <v>#N/A</v>
      </c>
      <c r="H454" s="41"/>
      <c r="I454" s="41" t="e">
        <f>VLOOKUP(H454,Pcode!C:D,2,FALSE)</f>
        <v>#N/A</v>
      </c>
      <c r="J454" s="41"/>
      <c r="K454" s="160"/>
      <c r="L454" s="160"/>
      <c r="M454" s="46"/>
      <c r="N454" s="136"/>
      <c r="O454" s="136"/>
      <c r="P454" s="136"/>
      <c r="Q454" s="136"/>
      <c r="R454" s="136"/>
      <c r="S454" s="136"/>
      <c r="T454" s="136"/>
      <c r="U454" s="136"/>
      <c r="V454" s="136"/>
      <c r="W454" s="136"/>
      <c r="X454" s="136"/>
      <c r="Y454" s="136"/>
      <c r="Z454" s="136"/>
      <c r="AA454" s="231"/>
    </row>
    <row r="455" spans="1:27" x14ac:dyDescent="0.2">
      <c r="A455" s="39"/>
      <c r="B455" s="39"/>
      <c r="C455" s="43"/>
      <c r="D455" s="43"/>
      <c r="E455" s="43"/>
      <c r="F455" s="132"/>
      <c r="G455" s="41" t="e">
        <f>VLOOKUP(F455,Pcode!A:B,2,FALSE)</f>
        <v>#N/A</v>
      </c>
      <c r="H455" s="41"/>
      <c r="I455" s="41" t="e">
        <f>VLOOKUP(H455,Pcode!C:D,2,FALSE)</f>
        <v>#N/A</v>
      </c>
      <c r="J455" s="41"/>
      <c r="K455" s="160"/>
      <c r="L455" s="160"/>
      <c r="M455" s="46"/>
      <c r="N455" s="136"/>
      <c r="O455" s="136"/>
      <c r="P455" s="136"/>
      <c r="Q455" s="136"/>
      <c r="R455" s="136"/>
      <c r="S455" s="136"/>
      <c r="T455" s="136"/>
      <c r="U455" s="136"/>
      <c r="V455" s="136"/>
      <c r="W455" s="136"/>
      <c r="X455" s="136"/>
      <c r="Y455" s="136"/>
      <c r="Z455" s="136"/>
      <c r="AA455" s="231"/>
    </row>
    <row r="456" spans="1:27" x14ac:dyDescent="0.2">
      <c r="A456" s="39"/>
      <c r="B456" s="39"/>
      <c r="C456" s="43"/>
      <c r="D456" s="43"/>
      <c r="E456" s="43"/>
      <c r="F456" s="132"/>
      <c r="G456" s="41" t="e">
        <f>VLOOKUP(F456,Pcode!A:B,2,FALSE)</f>
        <v>#N/A</v>
      </c>
      <c r="H456" s="41"/>
      <c r="I456" s="41" t="e">
        <f>VLOOKUP(H456,Pcode!C:D,2,FALSE)</f>
        <v>#N/A</v>
      </c>
      <c r="J456" s="41"/>
      <c r="K456" s="160"/>
      <c r="L456" s="160"/>
      <c r="M456" s="46"/>
      <c r="N456" s="136"/>
      <c r="O456" s="136"/>
      <c r="P456" s="136"/>
      <c r="Q456" s="136"/>
      <c r="R456" s="136"/>
      <c r="S456" s="136"/>
      <c r="T456" s="136"/>
      <c r="U456" s="136"/>
      <c r="V456" s="136"/>
      <c r="W456" s="136"/>
      <c r="X456" s="136"/>
      <c r="Y456" s="136"/>
      <c r="Z456" s="136"/>
      <c r="AA456" s="231"/>
    </row>
    <row r="457" spans="1:27" x14ac:dyDescent="0.2">
      <c r="A457" s="39"/>
      <c r="B457" s="39"/>
      <c r="C457" s="43"/>
      <c r="D457" s="43"/>
      <c r="E457" s="43"/>
      <c r="F457" s="132"/>
      <c r="G457" s="41" t="e">
        <f>VLOOKUP(F457,Pcode!A:B,2,FALSE)</f>
        <v>#N/A</v>
      </c>
      <c r="H457" s="41"/>
      <c r="I457" s="41" t="e">
        <f>VLOOKUP(H457,Pcode!C:D,2,FALSE)</f>
        <v>#N/A</v>
      </c>
      <c r="J457" s="41"/>
      <c r="K457" s="160"/>
      <c r="L457" s="160"/>
      <c r="M457" s="46"/>
      <c r="N457" s="136"/>
      <c r="O457" s="136"/>
      <c r="P457" s="136"/>
      <c r="Q457" s="136"/>
      <c r="R457" s="136"/>
      <c r="S457" s="136"/>
      <c r="T457" s="136"/>
      <c r="U457" s="136"/>
      <c r="V457" s="136"/>
      <c r="W457" s="136"/>
      <c r="X457" s="136"/>
      <c r="Y457" s="136"/>
      <c r="Z457" s="136"/>
      <c r="AA457" s="231"/>
    </row>
    <row r="458" spans="1:27" x14ac:dyDescent="0.2">
      <c r="A458" s="39"/>
      <c r="B458" s="39"/>
      <c r="C458" s="43"/>
      <c r="D458" s="43"/>
      <c r="E458" s="43"/>
      <c r="F458" s="132"/>
      <c r="G458" s="41" t="e">
        <f>VLOOKUP(F458,Pcode!A:B,2,FALSE)</f>
        <v>#N/A</v>
      </c>
      <c r="H458" s="41"/>
      <c r="I458" s="41" t="e">
        <f>VLOOKUP(H458,Pcode!C:D,2,FALSE)</f>
        <v>#N/A</v>
      </c>
      <c r="J458" s="41"/>
      <c r="K458" s="160"/>
      <c r="L458" s="160"/>
      <c r="M458" s="46"/>
      <c r="N458" s="136"/>
      <c r="O458" s="136"/>
      <c r="P458" s="136"/>
      <c r="Q458" s="136"/>
      <c r="R458" s="136"/>
      <c r="S458" s="136"/>
      <c r="T458" s="136"/>
      <c r="U458" s="136"/>
      <c r="V458" s="136"/>
      <c r="W458" s="136"/>
      <c r="X458" s="136"/>
      <c r="Y458" s="136"/>
      <c r="Z458" s="136"/>
      <c r="AA458" s="231"/>
    </row>
    <row r="459" spans="1:27" x14ac:dyDescent="0.2">
      <c r="A459" s="39"/>
      <c r="B459" s="39"/>
      <c r="C459" s="43"/>
      <c r="D459" s="43"/>
      <c r="E459" s="43"/>
      <c r="F459" s="132"/>
      <c r="G459" s="41" t="e">
        <f>VLOOKUP(F459,Pcode!A:B,2,FALSE)</f>
        <v>#N/A</v>
      </c>
      <c r="H459" s="41"/>
      <c r="I459" s="41" t="e">
        <f>VLOOKUP(H459,Pcode!C:D,2,FALSE)</f>
        <v>#N/A</v>
      </c>
      <c r="J459" s="41"/>
      <c r="K459" s="160"/>
      <c r="L459" s="160"/>
      <c r="M459" s="46"/>
      <c r="N459" s="136"/>
      <c r="O459" s="136"/>
      <c r="P459" s="136"/>
      <c r="Q459" s="136"/>
      <c r="R459" s="136"/>
      <c r="S459" s="136"/>
      <c r="T459" s="136"/>
      <c r="U459" s="136"/>
      <c r="V459" s="136"/>
      <c r="W459" s="136"/>
      <c r="X459" s="136"/>
      <c r="Y459" s="136"/>
      <c r="Z459" s="136"/>
      <c r="AA459" s="231"/>
    </row>
    <row r="460" spans="1:27" x14ac:dyDescent="0.2">
      <c r="A460" s="39"/>
      <c r="B460" s="39"/>
      <c r="C460" s="43"/>
      <c r="D460" s="43"/>
      <c r="E460" s="43"/>
      <c r="F460" s="132"/>
      <c r="G460" s="41" t="e">
        <f>VLOOKUP(F460,Pcode!A:B,2,FALSE)</f>
        <v>#N/A</v>
      </c>
      <c r="H460" s="41"/>
      <c r="I460" s="41" t="e">
        <f>VLOOKUP(H460,Pcode!C:D,2,FALSE)</f>
        <v>#N/A</v>
      </c>
      <c r="J460" s="41"/>
      <c r="K460" s="160"/>
      <c r="L460" s="160"/>
      <c r="M460" s="46"/>
      <c r="N460" s="136"/>
      <c r="O460" s="136"/>
      <c r="P460" s="136"/>
      <c r="Q460" s="136"/>
      <c r="R460" s="136"/>
      <c r="S460" s="136"/>
      <c r="T460" s="136"/>
      <c r="U460" s="136"/>
      <c r="V460" s="136"/>
      <c r="W460" s="136"/>
      <c r="X460" s="136"/>
      <c r="Y460" s="136"/>
      <c r="Z460" s="136"/>
      <c r="AA460" s="231"/>
    </row>
    <row r="461" spans="1:27" x14ac:dyDescent="0.2">
      <c r="A461" s="39"/>
      <c r="B461" s="39"/>
      <c r="C461" s="43"/>
      <c r="D461" s="43"/>
      <c r="E461" s="43"/>
      <c r="F461" s="132"/>
      <c r="G461" s="41" t="e">
        <f>VLOOKUP(F461,Pcode!A:B,2,FALSE)</f>
        <v>#N/A</v>
      </c>
      <c r="H461" s="41"/>
      <c r="I461" s="41" t="e">
        <f>VLOOKUP(H461,Pcode!C:D,2,FALSE)</f>
        <v>#N/A</v>
      </c>
      <c r="J461" s="41"/>
      <c r="K461" s="160"/>
      <c r="L461" s="160"/>
      <c r="M461" s="46"/>
      <c r="N461" s="136"/>
      <c r="O461" s="136"/>
      <c r="P461" s="136"/>
      <c r="Q461" s="136"/>
      <c r="R461" s="136"/>
      <c r="S461" s="136"/>
      <c r="T461" s="136"/>
      <c r="U461" s="136"/>
      <c r="V461" s="136"/>
      <c r="W461" s="136"/>
      <c r="X461" s="136"/>
      <c r="Y461" s="136"/>
      <c r="Z461" s="136"/>
      <c r="AA461" s="231"/>
    </row>
    <row r="462" spans="1:27" x14ac:dyDescent="0.2">
      <c r="A462" s="39"/>
      <c r="B462" s="39"/>
      <c r="C462" s="43"/>
      <c r="D462" s="43"/>
      <c r="E462" s="43"/>
      <c r="F462" s="132"/>
      <c r="G462" s="41" t="e">
        <f>VLOOKUP(F462,Pcode!A:B,2,FALSE)</f>
        <v>#N/A</v>
      </c>
      <c r="H462" s="41"/>
      <c r="I462" s="41" t="e">
        <f>VLOOKUP(H462,Pcode!C:D,2,FALSE)</f>
        <v>#N/A</v>
      </c>
      <c r="J462" s="41"/>
      <c r="K462" s="160"/>
      <c r="L462" s="160"/>
      <c r="M462" s="46"/>
      <c r="N462" s="136"/>
      <c r="O462" s="136"/>
      <c r="P462" s="136"/>
      <c r="Q462" s="136"/>
      <c r="R462" s="136"/>
      <c r="S462" s="136"/>
      <c r="T462" s="136"/>
      <c r="U462" s="136"/>
      <c r="V462" s="136"/>
      <c r="W462" s="136"/>
      <c r="X462" s="136"/>
      <c r="Y462" s="136"/>
      <c r="Z462" s="136"/>
      <c r="AA462" s="231"/>
    </row>
    <row r="463" spans="1:27" x14ac:dyDescent="0.2">
      <c r="A463" s="39"/>
      <c r="B463" s="39"/>
      <c r="C463" s="43"/>
      <c r="D463" s="43"/>
      <c r="E463" s="43"/>
      <c r="F463" s="132"/>
      <c r="G463" s="41" t="e">
        <f>VLOOKUP(F463,Pcode!A:B,2,FALSE)</f>
        <v>#N/A</v>
      </c>
      <c r="H463" s="41"/>
      <c r="I463" s="41" t="e">
        <f>VLOOKUP(H463,Pcode!C:D,2,FALSE)</f>
        <v>#N/A</v>
      </c>
      <c r="J463" s="41"/>
      <c r="K463" s="160"/>
      <c r="L463" s="160"/>
      <c r="M463" s="46"/>
      <c r="N463" s="136"/>
      <c r="O463" s="136"/>
      <c r="P463" s="136"/>
      <c r="Q463" s="136"/>
      <c r="R463" s="136"/>
      <c r="S463" s="136"/>
      <c r="T463" s="136"/>
      <c r="U463" s="136"/>
      <c r="V463" s="136"/>
      <c r="W463" s="136"/>
      <c r="X463" s="136"/>
      <c r="Y463" s="136"/>
      <c r="Z463" s="136"/>
      <c r="AA463" s="231"/>
    </row>
    <row r="464" spans="1:27" x14ac:dyDescent="0.2">
      <c r="A464" s="39"/>
      <c r="B464" s="39"/>
      <c r="C464" s="43"/>
      <c r="D464" s="43"/>
      <c r="E464" s="43"/>
      <c r="F464" s="132"/>
      <c r="G464" s="41" t="e">
        <f>VLOOKUP(F464,Pcode!A:B,2,FALSE)</f>
        <v>#N/A</v>
      </c>
      <c r="H464" s="41"/>
      <c r="I464" s="41" t="e">
        <f>VLOOKUP(H464,Pcode!C:D,2,FALSE)</f>
        <v>#N/A</v>
      </c>
      <c r="J464" s="41"/>
      <c r="K464" s="160"/>
      <c r="L464" s="160"/>
      <c r="M464" s="46"/>
      <c r="N464" s="136"/>
      <c r="O464" s="136"/>
      <c r="P464" s="136"/>
      <c r="Q464" s="136"/>
      <c r="R464" s="136"/>
      <c r="S464" s="136"/>
      <c r="T464" s="136"/>
      <c r="U464" s="136"/>
      <c r="V464" s="136"/>
      <c r="W464" s="136"/>
      <c r="X464" s="136"/>
      <c r="Y464" s="136"/>
      <c r="Z464" s="136"/>
      <c r="AA464" s="231"/>
    </row>
    <row r="465" spans="1:27" x14ac:dyDescent="0.2">
      <c r="A465" s="39"/>
      <c r="B465" s="39"/>
      <c r="C465" s="43"/>
      <c r="D465" s="43"/>
      <c r="E465" s="43"/>
      <c r="F465" s="132"/>
      <c r="G465" s="41" t="e">
        <f>VLOOKUP(F465,Pcode!A:B,2,FALSE)</f>
        <v>#N/A</v>
      </c>
      <c r="H465" s="41"/>
      <c r="I465" s="41" t="e">
        <f>VLOOKUP(H465,Pcode!C:D,2,FALSE)</f>
        <v>#N/A</v>
      </c>
      <c r="J465" s="41"/>
      <c r="K465" s="160"/>
      <c r="L465" s="160"/>
      <c r="M465" s="46"/>
      <c r="N465" s="136"/>
      <c r="O465" s="136"/>
      <c r="P465" s="136"/>
      <c r="Q465" s="136"/>
      <c r="R465" s="136"/>
      <c r="S465" s="136"/>
      <c r="T465" s="136"/>
      <c r="U465" s="136"/>
      <c r="V465" s="136"/>
      <c r="W465" s="136"/>
      <c r="X465" s="136"/>
      <c r="Y465" s="136"/>
      <c r="Z465" s="136"/>
      <c r="AA465" s="231"/>
    </row>
    <row r="466" spans="1:27" x14ac:dyDescent="0.2">
      <c r="A466" s="39"/>
      <c r="B466" s="39"/>
      <c r="C466" s="43"/>
      <c r="D466" s="43"/>
      <c r="E466" s="43"/>
      <c r="F466" s="132"/>
      <c r="G466" s="41" t="e">
        <f>VLOOKUP(F466,Pcode!A:B,2,FALSE)</f>
        <v>#N/A</v>
      </c>
      <c r="H466" s="41"/>
      <c r="I466" s="41" t="e">
        <f>VLOOKUP(H466,Pcode!C:D,2,FALSE)</f>
        <v>#N/A</v>
      </c>
      <c r="J466" s="41"/>
      <c r="K466" s="160"/>
      <c r="L466" s="160"/>
      <c r="M466" s="46"/>
      <c r="N466" s="136"/>
      <c r="O466" s="136"/>
      <c r="P466" s="136"/>
      <c r="Q466" s="136"/>
      <c r="R466" s="136"/>
      <c r="S466" s="136"/>
      <c r="T466" s="136"/>
      <c r="U466" s="136"/>
      <c r="V466" s="136"/>
      <c r="W466" s="136"/>
      <c r="X466" s="136"/>
      <c r="Y466" s="136"/>
      <c r="Z466" s="136"/>
      <c r="AA466" s="231"/>
    </row>
    <row r="467" spans="1:27" x14ac:dyDescent="0.2">
      <c r="A467" s="39"/>
      <c r="B467" s="39"/>
      <c r="C467" s="43"/>
      <c r="D467" s="43"/>
      <c r="E467" s="43"/>
      <c r="F467" s="132"/>
      <c r="G467" s="41" t="e">
        <f>VLOOKUP(F467,Pcode!A:B,2,FALSE)</f>
        <v>#N/A</v>
      </c>
      <c r="H467" s="41"/>
      <c r="I467" s="41" t="e">
        <f>VLOOKUP(H467,Pcode!C:D,2,FALSE)</f>
        <v>#N/A</v>
      </c>
      <c r="J467" s="41"/>
      <c r="K467" s="160"/>
      <c r="L467" s="160"/>
      <c r="M467" s="46"/>
      <c r="N467" s="136"/>
      <c r="O467" s="136"/>
      <c r="P467" s="136"/>
      <c r="Q467" s="136"/>
      <c r="R467" s="136"/>
      <c r="S467" s="136"/>
      <c r="T467" s="136"/>
      <c r="U467" s="136"/>
      <c r="V467" s="136"/>
      <c r="W467" s="136"/>
      <c r="X467" s="136"/>
      <c r="Y467" s="136"/>
      <c r="Z467" s="136"/>
      <c r="AA467" s="231"/>
    </row>
    <row r="468" spans="1:27" x14ac:dyDescent="0.2">
      <c r="A468" s="39"/>
      <c r="B468" s="39"/>
      <c r="C468" s="43"/>
      <c r="D468" s="43"/>
      <c r="E468" s="43"/>
      <c r="F468" s="132"/>
      <c r="G468" s="41" t="e">
        <f>VLOOKUP(F468,Pcode!A:B,2,FALSE)</f>
        <v>#N/A</v>
      </c>
      <c r="H468" s="41"/>
      <c r="I468" s="41" t="e">
        <f>VLOOKUP(H468,Pcode!C:D,2,FALSE)</f>
        <v>#N/A</v>
      </c>
      <c r="J468" s="41"/>
      <c r="K468" s="160"/>
      <c r="L468" s="160"/>
      <c r="M468" s="46"/>
      <c r="N468" s="136"/>
      <c r="O468" s="136"/>
      <c r="P468" s="136"/>
      <c r="Q468" s="136"/>
      <c r="R468" s="136"/>
      <c r="S468" s="136"/>
      <c r="T468" s="136"/>
      <c r="U468" s="136"/>
      <c r="V468" s="136"/>
      <c r="W468" s="136"/>
      <c r="X468" s="136"/>
      <c r="Y468" s="136"/>
      <c r="Z468" s="136"/>
      <c r="AA468" s="231"/>
    </row>
    <row r="469" spans="1:27" x14ac:dyDescent="0.2">
      <c r="A469" s="39"/>
      <c r="B469" s="39"/>
      <c r="C469" s="43"/>
      <c r="D469" s="43"/>
      <c r="E469" s="43"/>
      <c r="F469" s="132"/>
      <c r="G469" s="41" t="e">
        <f>VLOOKUP(F469,Pcode!A:B,2,FALSE)</f>
        <v>#N/A</v>
      </c>
      <c r="H469" s="41"/>
      <c r="I469" s="41" t="e">
        <f>VLOOKUP(H469,Pcode!C:D,2,FALSE)</f>
        <v>#N/A</v>
      </c>
      <c r="J469" s="41"/>
      <c r="K469" s="160"/>
      <c r="L469" s="160"/>
      <c r="M469" s="46"/>
      <c r="N469" s="136"/>
      <c r="O469" s="136"/>
      <c r="P469" s="136"/>
      <c r="Q469" s="136"/>
      <c r="R469" s="136"/>
      <c r="S469" s="136"/>
      <c r="T469" s="136"/>
      <c r="U469" s="136"/>
      <c r="V469" s="136"/>
      <c r="W469" s="136"/>
      <c r="X469" s="136"/>
      <c r="Y469" s="136"/>
      <c r="Z469" s="136"/>
      <c r="AA469" s="231"/>
    </row>
    <row r="470" spans="1:27" x14ac:dyDescent="0.2">
      <c r="A470" s="39"/>
      <c r="B470" s="39"/>
      <c r="C470" s="43"/>
      <c r="D470" s="43"/>
      <c r="E470" s="43"/>
      <c r="F470" s="132"/>
      <c r="G470" s="41" t="e">
        <f>VLOOKUP(F470,Pcode!A:B,2,FALSE)</f>
        <v>#N/A</v>
      </c>
      <c r="H470" s="41"/>
      <c r="I470" s="41" t="e">
        <f>VLOOKUP(H470,Pcode!C:D,2,FALSE)</f>
        <v>#N/A</v>
      </c>
      <c r="J470" s="41"/>
      <c r="K470" s="160"/>
      <c r="L470" s="160"/>
      <c r="M470" s="46"/>
      <c r="N470" s="136"/>
      <c r="O470" s="136"/>
      <c r="P470" s="136"/>
      <c r="Q470" s="136"/>
      <c r="R470" s="136"/>
      <c r="S470" s="136"/>
      <c r="T470" s="136"/>
      <c r="U470" s="136"/>
      <c r="V470" s="136"/>
      <c r="W470" s="136"/>
      <c r="X470" s="136"/>
      <c r="Y470" s="136"/>
      <c r="Z470" s="136"/>
      <c r="AA470" s="231"/>
    </row>
    <row r="471" spans="1:27" x14ac:dyDescent="0.2">
      <c r="A471" s="39"/>
      <c r="B471" s="39"/>
      <c r="C471" s="43"/>
      <c r="D471" s="43"/>
      <c r="E471" s="43"/>
      <c r="F471" s="132"/>
      <c r="G471" s="41" t="e">
        <f>VLOOKUP(F471,Pcode!A:B,2,FALSE)</f>
        <v>#N/A</v>
      </c>
      <c r="H471" s="41"/>
      <c r="I471" s="41" t="e">
        <f>VLOOKUP(H471,Pcode!C:D,2,FALSE)</f>
        <v>#N/A</v>
      </c>
      <c r="J471" s="41"/>
      <c r="K471" s="160"/>
      <c r="L471" s="160"/>
      <c r="M471" s="46"/>
      <c r="N471" s="136"/>
      <c r="O471" s="136"/>
      <c r="P471" s="136"/>
      <c r="Q471" s="136"/>
      <c r="R471" s="136"/>
      <c r="S471" s="136"/>
      <c r="T471" s="136"/>
      <c r="U471" s="136"/>
      <c r="V471" s="136"/>
      <c r="W471" s="136"/>
      <c r="X471" s="136"/>
      <c r="Y471" s="136"/>
      <c r="Z471" s="136"/>
      <c r="AA471" s="231"/>
    </row>
    <row r="472" spans="1:27" x14ac:dyDescent="0.2">
      <c r="A472" s="39"/>
      <c r="B472" s="39"/>
      <c r="C472" s="43"/>
      <c r="D472" s="43"/>
      <c r="E472" s="43"/>
      <c r="F472" s="132"/>
      <c r="G472" s="41" t="e">
        <f>VLOOKUP(F472,Pcode!A:B,2,FALSE)</f>
        <v>#N/A</v>
      </c>
      <c r="H472" s="41"/>
      <c r="I472" s="41" t="e">
        <f>VLOOKUP(H472,Pcode!C:D,2,FALSE)</f>
        <v>#N/A</v>
      </c>
      <c r="J472" s="41"/>
      <c r="K472" s="160"/>
      <c r="L472" s="160"/>
      <c r="M472" s="46"/>
      <c r="N472" s="136"/>
      <c r="O472" s="136"/>
      <c r="P472" s="136"/>
      <c r="Q472" s="136"/>
      <c r="R472" s="136"/>
      <c r="S472" s="136"/>
      <c r="T472" s="136"/>
      <c r="U472" s="136"/>
      <c r="V472" s="136"/>
      <c r="W472" s="136"/>
      <c r="X472" s="136"/>
      <c r="Y472" s="136"/>
      <c r="Z472" s="136"/>
      <c r="AA472" s="231"/>
    </row>
    <row r="473" spans="1:27" x14ac:dyDescent="0.2">
      <c r="A473" s="39"/>
      <c r="B473" s="39"/>
      <c r="C473" s="43"/>
      <c r="D473" s="43"/>
      <c r="E473" s="43"/>
      <c r="F473" s="132"/>
      <c r="G473" s="41" t="e">
        <f>VLOOKUP(F473,Pcode!A:B,2,FALSE)</f>
        <v>#N/A</v>
      </c>
      <c r="H473" s="41"/>
      <c r="I473" s="41" t="e">
        <f>VLOOKUP(H473,Pcode!C:D,2,FALSE)</f>
        <v>#N/A</v>
      </c>
      <c r="J473" s="41"/>
      <c r="K473" s="160"/>
      <c r="L473" s="160"/>
      <c r="M473" s="46"/>
      <c r="N473" s="136"/>
      <c r="O473" s="136"/>
      <c r="P473" s="136"/>
      <c r="Q473" s="136"/>
      <c r="R473" s="136"/>
      <c r="S473" s="136"/>
      <c r="T473" s="136"/>
      <c r="U473" s="136"/>
      <c r="V473" s="136"/>
      <c r="W473" s="136"/>
      <c r="X473" s="136"/>
      <c r="Y473" s="136"/>
      <c r="Z473" s="136"/>
      <c r="AA473" s="231"/>
    </row>
    <row r="474" spans="1:27" x14ac:dyDescent="0.2">
      <c r="A474" s="39"/>
      <c r="B474" s="39"/>
      <c r="C474" s="43"/>
      <c r="D474" s="43"/>
      <c r="E474" s="43"/>
      <c r="F474" s="132"/>
      <c r="G474" s="41" t="e">
        <f>VLOOKUP(F474,Pcode!A:B,2,FALSE)</f>
        <v>#N/A</v>
      </c>
      <c r="H474" s="41"/>
      <c r="I474" s="41" t="e">
        <f>VLOOKUP(H474,Pcode!C:D,2,FALSE)</f>
        <v>#N/A</v>
      </c>
      <c r="J474" s="41"/>
      <c r="K474" s="160"/>
      <c r="L474" s="160"/>
      <c r="M474" s="46"/>
      <c r="N474" s="136"/>
      <c r="O474" s="136"/>
      <c r="P474" s="136"/>
      <c r="Q474" s="136"/>
      <c r="R474" s="136"/>
      <c r="S474" s="136"/>
      <c r="T474" s="136"/>
      <c r="U474" s="136"/>
      <c r="V474" s="136"/>
      <c r="W474" s="136"/>
      <c r="X474" s="136"/>
      <c r="Y474" s="136"/>
      <c r="Z474" s="136"/>
      <c r="AA474" s="231"/>
    </row>
    <row r="475" spans="1:27" x14ac:dyDescent="0.2">
      <c r="A475" s="39"/>
      <c r="B475" s="39"/>
      <c r="C475" s="43"/>
      <c r="D475" s="43"/>
      <c r="E475" s="43"/>
      <c r="F475" s="132"/>
      <c r="G475" s="41" t="e">
        <f>VLOOKUP(F475,Pcode!A:B,2,FALSE)</f>
        <v>#N/A</v>
      </c>
      <c r="H475" s="41"/>
      <c r="I475" s="41" t="e">
        <f>VLOOKUP(H475,Pcode!C:D,2,FALSE)</f>
        <v>#N/A</v>
      </c>
      <c r="J475" s="41"/>
      <c r="K475" s="160"/>
      <c r="L475" s="160"/>
      <c r="M475" s="46"/>
      <c r="N475" s="136"/>
      <c r="O475" s="136"/>
      <c r="P475" s="136"/>
      <c r="Q475" s="136"/>
      <c r="R475" s="136"/>
      <c r="S475" s="136"/>
      <c r="T475" s="136"/>
      <c r="U475" s="136"/>
      <c r="V475" s="136"/>
      <c r="W475" s="136"/>
      <c r="X475" s="136"/>
      <c r="Y475" s="136"/>
      <c r="Z475" s="136"/>
      <c r="AA475" s="231"/>
    </row>
    <row r="476" spans="1:27" x14ac:dyDescent="0.2">
      <c r="A476" s="39"/>
      <c r="B476" s="39"/>
      <c r="C476" s="43"/>
      <c r="D476" s="43"/>
      <c r="E476" s="43"/>
      <c r="F476" s="132"/>
      <c r="G476" s="41" t="e">
        <f>VLOOKUP(F476,Pcode!A:B,2,FALSE)</f>
        <v>#N/A</v>
      </c>
      <c r="H476" s="41"/>
      <c r="I476" s="41" t="e">
        <f>VLOOKUP(H476,Pcode!C:D,2,FALSE)</f>
        <v>#N/A</v>
      </c>
      <c r="J476" s="41"/>
      <c r="K476" s="160"/>
      <c r="L476" s="160"/>
      <c r="M476" s="46"/>
      <c r="N476" s="136"/>
      <c r="O476" s="136"/>
      <c r="P476" s="136"/>
      <c r="Q476" s="136"/>
      <c r="R476" s="136"/>
      <c r="S476" s="136"/>
      <c r="T476" s="136"/>
      <c r="U476" s="136"/>
      <c r="V476" s="136"/>
      <c r="W476" s="136"/>
      <c r="X476" s="136"/>
      <c r="Y476" s="136"/>
      <c r="Z476" s="136"/>
      <c r="AA476" s="231"/>
    </row>
    <row r="477" spans="1:27" x14ac:dyDescent="0.2">
      <c r="A477" s="39"/>
      <c r="B477" s="39"/>
      <c r="C477" s="43"/>
      <c r="D477" s="43"/>
      <c r="E477" s="43"/>
      <c r="F477" s="132"/>
      <c r="G477" s="41" t="e">
        <f>VLOOKUP(F477,Pcode!A:B,2,FALSE)</f>
        <v>#N/A</v>
      </c>
      <c r="H477" s="41"/>
      <c r="I477" s="41" t="e">
        <f>VLOOKUP(H477,Pcode!C:D,2,FALSE)</f>
        <v>#N/A</v>
      </c>
      <c r="J477" s="41"/>
      <c r="K477" s="160"/>
      <c r="L477" s="160"/>
      <c r="M477" s="46"/>
      <c r="N477" s="136"/>
      <c r="O477" s="136"/>
      <c r="P477" s="136"/>
      <c r="Q477" s="136"/>
      <c r="R477" s="136"/>
      <c r="S477" s="136"/>
      <c r="T477" s="136"/>
      <c r="U477" s="136"/>
      <c r="V477" s="136"/>
      <c r="W477" s="136"/>
      <c r="X477" s="136"/>
      <c r="Y477" s="136"/>
      <c r="Z477" s="136"/>
      <c r="AA477" s="231"/>
    </row>
    <row r="478" spans="1:27" x14ac:dyDescent="0.2">
      <c r="A478" s="39"/>
      <c r="B478" s="39"/>
      <c r="C478" s="43"/>
      <c r="D478" s="43"/>
      <c r="E478" s="43"/>
      <c r="F478" s="132"/>
      <c r="G478" s="41" t="e">
        <f>VLOOKUP(F478,Pcode!A:B,2,FALSE)</f>
        <v>#N/A</v>
      </c>
      <c r="H478" s="41"/>
      <c r="I478" s="41" t="e">
        <f>VLOOKUP(H478,Pcode!C:D,2,FALSE)</f>
        <v>#N/A</v>
      </c>
      <c r="J478" s="41"/>
      <c r="K478" s="160"/>
      <c r="L478" s="160"/>
      <c r="M478" s="46"/>
      <c r="N478" s="136"/>
      <c r="O478" s="136"/>
      <c r="P478" s="136"/>
      <c r="Q478" s="136"/>
      <c r="R478" s="136"/>
      <c r="S478" s="136"/>
      <c r="T478" s="136"/>
      <c r="U478" s="136"/>
      <c r="V478" s="136"/>
      <c r="W478" s="136"/>
      <c r="X478" s="136"/>
      <c r="Y478" s="136"/>
      <c r="Z478" s="136"/>
      <c r="AA478" s="231"/>
    </row>
    <row r="479" spans="1:27" x14ac:dyDescent="0.2">
      <c r="A479" s="39"/>
      <c r="B479" s="39"/>
      <c r="C479" s="43"/>
      <c r="D479" s="43"/>
      <c r="E479" s="43"/>
      <c r="F479" s="132"/>
      <c r="G479" s="41" t="e">
        <f>VLOOKUP(F479,Pcode!A:B,2,FALSE)</f>
        <v>#N/A</v>
      </c>
      <c r="H479" s="41"/>
      <c r="I479" s="41" t="e">
        <f>VLOOKUP(H479,Pcode!C:D,2,FALSE)</f>
        <v>#N/A</v>
      </c>
      <c r="J479" s="41"/>
      <c r="K479" s="160"/>
      <c r="L479" s="160"/>
      <c r="M479" s="46"/>
      <c r="N479" s="136"/>
      <c r="O479" s="136"/>
      <c r="P479" s="136"/>
      <c r="Q479" s="136"/>
      <c r="R479" s="136"/>
      <c r="S479" s="136"/>
      <c r="T479" s="136"/>
      <c r="U479" s="136"/>
      <c r="V479" s="136"/>
      <c r="W479" s="136"/>
      <c r="X479" s="136"/>
      <c r="Y479" s="136"/>
      <c r="Z479" s="136"/>
      <c r="AA479" s="231"/>
    </row>
    <row r="480" spans="1:27" x14ac:dyDescent="0.2">
      <c r="A480" s="39"/>
      <c r="B480" s="39"/>
      <c r="C480" s="43"/>
      <c r="D480" s="43"/>
      <c r="E480" s="43"/>
      <c r="F480" s="132"/>
      <c r="G480" s="41" t="e">
        <f>VLOOKUP(F480,Pcode!A:B,2,FALSE)</f>
        <v>#N/A</v>
      </c>
      <c r="H480" s="41"/>
      <c r="I480" s="41" t="e">
        <f>VLOOKUP(H480,Pcode!C:D,2,FALSE)</f>
        <v>#N/A</v>
      </c>
      <c r="J480" s="41"/>
      <c r="K480" s="160"/>
      <c r="L480" s="160"/>
      <c r="M480" s="46"/>
      <c r="N480" s="136"/>
      <c r="O480" s="136"/>
      <c r="P480" s="136"/>
      <c r="Q480" s="136"/>
      <c r="R480" s="136"/>
      <c r="S480" s="136"/>
      <c r="T480" s="136"/>
      <c r="U480" s="136"/>
      <c r="V480" s="136"/>
      <c r="W480" s="136"/>
      <c r="X480" s="136"/>
      <c r="Y480" s="136"/>
      <c r="Z480" s="136"/>
      <c r="AA480" s="231"/>
    </row>
    <row r="481" spans="1:27" x14ac:dyDescent="0.2">
      <c r="A481" s="39"/>
      <c r="B481" s="39"/>
      <c r="C481" s="43"/>
      <c r="D481" s="43"/>
      <c r="E481" s="43"/>
      <c r="F481" s="132"/>
      <c r="G481" s="41" t="e">
        <f>VLOOKUP(F481,Pcode!A:B,2,FALSE)</f>
        <v>#N/A</v>
      </c>
      <c r="H481" s="41"/>
      <c r="I481" s="41" t="e">
        <f>VLOOKUP(H481,Pcode!C:D,2,FALSE)</f>
        <v>#N/A</v>
      </c>
      <c r="J481" s="41"/>
      <c r="K481" s="160"/>
      <c r="L481" s="160"/>
      <c r="M481" s="46"/>
      <c r="N481" s="136"/>
      <c r="O481" s="136"/>
      <c r="P481" s="136"/>
      <c r="Q481" s="136"/>
      <c r="R481" s="136"/>
      <c r="S481" s="136"/>
      <c r="T481" s="136"/>
      <c r="U481" s="136"/>
      <c r="V481" s="136"/>
      <c r="W481" s="136"/>
      <c r="X481" s="136"/>
      <c r="Y481" s="136"/>
      <c r="Z481" s="136"/>
      <c r="AA481" s="231"/>
    </row>
    <row r="482" spans="1:27" x14ac:dyDescent="0.2">
      <c r="A482" s="39"/>
      <c r="B482" s="39"/>
      <c r="C482" s="43"/>
      <c r="D482" s="43"/>
      <c r="E482" s="43"/>
      <c r="F482" s="132"/>
      <c r="G482" s="41" t="e">
        <f>VLOOKUP(F482,Pcode!A:B,2,FALSE)</f>
        <v>#N/A</v>
      </c>
      <c r="H482" s="41"/>
      <c r="I482" s="41" t="e">
        <f>VLOOKUP(H482,Pcode!C:D,2,FALSE)</f>
        <v>#N/A</v>
      </c>
      <c r="J482" s="41"/>
      <c r="K482" s="160"/>
      <c r="L482" s="160"/>
      <c r="M482" s="46"/>
      <c r="N482" s="136"/>
      <c r="O482" s="136"/>
      <c r="P482" s="136"/>
      <c r="Q482" s="136"/>
      <c r="R482" s="136"/>
      <c r="S482" s="136"/>
      <c r="T482" s="136"/>
      <c r="U482" s="136"/>
      <c r="V482" s="136"/>
      <c r="W482" s="136"/>
      <c r="X482" s="136"/>
      <c r="Y482" s="136"/>
      <c r="Z482" s="136"/>
      <c r="AA482" s="231"/>
    </row>
    <row r="483" spans="1:27" x14ac:dyDescent="0.2">
      <c r="A483" s="39"/>
      <c r="B483" s="39"/>
      <c r="C483" s="43"/>
      <c r="D483" s="43"/>
      <c r="E483" s="43"/>
      <c r="F483" s="132"/>
      <c r="G483" s="41" t="e">
        <f>VLOOKUP(F483,Pcode!A:B,2,FALSE)</f>
        <v>#N/A</v>
      </c>
      <c r="H483" s="41"/>
      <c r="I483" s="41" t="e">
        <f>VLOOKUP(H483,Pcode!C:D,2,FALSE)</f>
        <v>#N/A</v>
      </c>
      <c r="J483" s="41"/>
      <c r="K483" s="160"/>
      <c r="L483" s="160"/>
      <c r="M483" s="46"/>
      <c r="N483" s="136"/>
      <c r="O483" s="136"/>
      <c r="P483" s="136"/>
      <c r="Q483" s="136"/>
      <c r="R483" s="136"/>
      <c r="S483" s="136"/>
      <c r="T483" s="136"/>
      <c r="U483" s="136"/>
      <c r="V483" s="136"/>
      <c r="W483" s="136"/>
      <c r="X483" s="136"/>
      <c r="Y483" s="136"/>
      <c r="Z483" s="136"/>
      <c r="AA483" s="231"/>
    </row>
    <row r="484" spans="1:27" x14ac:dyDescent="0.2">
      <c r="A484" s="39"/>
      <c r="B484" s="39"/>
      <c r="C484" s="43"/>
      <c r="D484" s="43"/>
      <c r="E484" s="43"/>
      <c r="F484" s="132"/>
      <c r="G484" s="41" t="e">
        <f>VLOOKUP(F484,Pcode!A:B,2,FALSE)</f>
        <v>#N/A</v>
      </c>
      <c r="H484" s="41"/>
      <c r="I484" s="41" t="e">
        <f>VLOOKUP(H484,Pcode!C:D,2,FALSE)</f>
        <v>#N/A</v>
      </c>
      <c r="J484" s="41"/>
      <c r="K484" s="160"/>
      <c r="L484" s="160"/>
      <c r="M484" s="46"/>
      <c r="N484" s="136"/>
      <c r="O484" s="136"/>
      <c r="P484" s="136"/>
      <c r="Q484" s="136"/>
      <c r="R484" s="136"/>
      <c r="S484" s="136"/>
      <c r="T484" s="136"/>
      <c r="U484" s="136"/>
      <c r="V484" s="136"/>
      <c r="W484" s="136"/>
      <c r="X484" s="136"/>
      <c r="Y484" s="136"/>
      <c r="Z484" s="136"/>
      <c r="AA484" s="231"/>
    </row>
    <row r="485" spans="1:27" x14ac:dyDescent="0.2">
      <c r="A485" s="39"/>
      <c r="B485" s="39"/>
      <c r="C485" s="43"/>
      <c r="D485" s="43"/>
      <c r="E485" s="43"/>
      <c r="F485" s="132"/>
      <c r="G485" s="41" t="e">
        <f>VLOOKUP(F485,Pcode!A:B,2,FALSE)</f>
        <v>#N/A</v>
      </c>
      <c r="H485" s="41"/>
      <c r="I485" s="41" t="e">
        <f>VLOOKUP(H485,Pcode!C:D,2,FALSE)</f>
        <v>#N/A</v>
      </c>
      <c r="J485" s="41"/>
      <c r="K485" s="160"/>
      <c r="L485" s="160"/>
      <c r="M485" s="46"/>
      <c r="N485" s="136"/>
      <c r="O485" s="136"/>
      <c r="P485" s="136"/>
      <c r="Q485" s="136"/>
      <c r="R485" s="136"/>
      <c r="S485" s="136"/>
      <c r="T485" s="136"/>
      <c r="U485" s="136"/>
      <c r="V485" s="136"/>
      <c r="W485" s="136"/>
      <c r="X485" s="136"/>
      <c r="Y485" s="136"/>
      <c r="Z485" s="136"/>
      <c r="AA485" s="231"/>
    </row>
    <row r="486" spans="1:27" x14ac:dyDescent="0.2">
      <c r="A486" s="39"/>
      <c r="B486" s="39"/>
      <c r="C486" s="43"/>
      <c r="D486" s="43"/>
      <c r="E486" s="43"/>
      <c r="F486" s="132"/>
      <c r="G486" s="41" t="e">
        <f>VLOOKUP(F486,Pcode!A:B,2,FALSE)</f>
        <v>#N/A</v>
      </c>
      <c r="H486" s="41"/>
      <c r="I486" s="41" t="e">
        <f>VLOOKUP(H486,Pcode!C:D,2,FALSE)</f>
        <v>#N/A</v>
      </c>
      <c r="J486" s="41"/>
      <c r="K486" s="160"/>
      <c r="L486" s="160"/>
      <c r="M486" s="46"/>
      <c r="N486" s="136"/>
      <c r="O486" s="136"/>
      <c r="P486" s="136"/>
      <c r="Q486" s="136"/>
      <c r="R486" s="136"/>
      <c r="S486" s="136"/>
      <c r="T486" s="136"/>
      <c r="U486" s="136"/>
      <c r="V486" s="136"/>
      <c r="W486" s="136"/>
      <c r="X486" s="136"/>
      <c r="Y486" s="136"/>
      <c r="Z486" s="136"/>
      <c r="AA486" s="231"/>
    </row>
    <row r="487" spans="1:27" x14ac:dyDescent="0.2">
      <c r="A487" s="39"/>
      <c r="B487" s="39"/>
      <c r="C487" s="43"/>
      <c r="D487" s="43"/>
      <c r="E487" s="43"/>
      <c r="F487" s="132"/>
      <c r="G487" s="41" t="e">
        <f>VLOOKUP(F487,Pcode!A:B,2,FALSE)</f>
        <v>#N/A</v>
      </c>
      <c r="H487" s="41"/>
      <c r="I487" s="41" t="e">
        <f>VLOOKUP(H487,Pcode!C:D,2,FALSE)</f>
        <v>#N/A</v>
      </c>
      <c r="J487" s="41"/>
      <c r="K487" s="160"/>
      <c r="L487" s="160"/>
      <c r="M487" s="46"/>
      <c r="N487" s="136"/>
      <c r="O487" s="136"/>
      <c r="P487" s="136"/>
      <c r="Q487" s="136"/>
      <c r="R487" s="136"/>
      <c r="S487" s="136"/>
      <c r="T487" s="136"/>
      <c r="U487" s="136"/>
      <c r="V487" s="136"/>
      <c r="W487" s="136"/>
      <c r="X487" s="136"/>
      <c r="Y487" s="136"/>
      <c r="Z487" s="136"/>
      <c r="AA487" s="231"/>
    </row>
    <row r="488" spans="1:27" x14ac:dyDescent="0.2">
      <c r="A488" s="39"/>
      <c r="B488" s="39"/>
      <c r="C488" s="43"/>
      <c r="D488" s="43"/>
      <c r="E488" s="43"/>
      <c r="F488" s="132"/>
      <c r="G488" s="41" t="e">
        <f>VLOOKUP(F488,Pcode!A:B,2,FALSE)</f>
        <v>#N/A</v>
      </c>
      <c r="H488" s="41"/>
      <c r="I488" s="41" t="e">
        <f>VLOOKUP(H488,Pcode!C:D,2,FALSE)</f>
        <v>#N/A</v>
      </c>
      <c r="J488" s="41"/>
      <c r="K488" s="160"/>
      <c r="L488" s="160"/>
      <c r="M488" s="46"/>
      <c r="N488" s="136"/>
      <c r="O488" s="136"/>
      <c r="P488" s="136"/>
      <c r="Q488" s="136"/>
      <c r="R488" s="136"/>
      <c r="S488" s="136"/>
      <c r="T488" s="136"/>
      <c r="U488" s="136"/>
      <c r="V488" s="136"/>
      <c r="W488" s="136"/>
      <c r="X488" s="136"/>
      <c r="Y488" s="136"/>
      <c r="Z488" s="136"/>
      <c r="AA488" s="231"/>
    </row>
    <row r="489" spans="1:27" x14ac:dyDescent="0.2">
      <c r="A489" s="39"/>
      <c r="B489" s="39"/>
      <c r="C489" s="43"/>
      <c r="D489" s="43"/>
      <c r="E489" s="43"/>
      <c r="F489" s="132"/>
      <c r="G489" s="41" t="e">
        <f>VLOOKUP(F489,Pcode!A:B,2,FALSE)</f>
        <v>#N/A</v>
      </c>
      <c r="H489" s="41"/>
      <c r="I489" s="41" t="e">
        <f>VLOOKUP(H489,Pcode!C:D,2,FALSE)</f>
        <v>#N/A</v>
      </c>
      <c r="J489" s="41"/>
      <c r="K489" s="160"/>
      <c r="L489" s="160"/>
      <c r="M489" s="46"/>
      <c r="N489" s="136"/>
      <c r="O489" s="136"/>
      <c r="P489" s="136"/>
      <c r="Q489" s="136"/>
      <c r="R489" s="136"/>
      <c r="S489" s="136"/>
      <c r="T489" s="136"/>
      <c r="U489" s="136"/>
      <c r="V489" s="136"/>
      <c r="W489" s="136"/>
      <c r="X489" s="136"/>
      <c r="Y489" s="136"/>
      <c r="Z489" s="136"/>
      <c r="AA489" s="231"/>
    </row>
    <row r="490" spans="1:27" x14ac:dyDescent="0.2">
      <c r="A490" s="39"/>
      <c r="B490" s="39"/>
      <c r="C490" s="43"/>
      <c r="D490" s="43"/>
      <c r="E490" s="43"/>
      <c r="F490" s="132"/>
      <c r="G490" s="41" t="e">
        <f>VLOOKUP(F490,Pcode!A:B,2,FALSE)</f>
        <v>#N/A</v>
      </c>
      <c r="H490" s="41"/>
      <c r="I490" s="41" t="e">
        <f>VLOOKUP(H490,Pcode!C:D,2,FALSE)</f>
        <v>#N/A</v>
      </c>
      <c r="J490" s="41"/>
      <c r="K490" s="160"/>
      <c r="L490" s="160"/>
      <c r="M490" s="46"/>
      <c r="N490" s="136"/>
      <c r="O490" s="136"/>
      <c r="P490" s="136"/>
      <c r="Q490" s="136"/>
      <c r="R490" s="136"/>
      <c r="S490" s="136"/>
      <c r="T490" s="136"/>
      <c r="U490" s="136"/>
      <c r="V490" s="136"/>
      <c r="W490" s="136"/>
      <c r="X490" s="136"/>
      <c r="Y490" s="136"/>
      <c r="Z490" s="136"/>
      <c r="AA490" s="231"/>
    </row>
    <row r="491" spans="1:27" x14ac:dyDescent="0.2">
      <c r="A491" s="39"/>
      <c r="B491" s="39"/>
      <c r="C491" s="43"/>
      <c r="D491" s="43"/>
      <c r="E491" s="43"/>
      <c r="F491" s="132"/>
      <c r="G491" s="41" t="e">
        <f>VLOOKUP(F491,Pcode!A:B,2,FALSE)</f>
        <v>#N/A</v>
      </c>
      <c r="H491" s="41"/>
      <c r="I491" s="41" t="e">
        <f>VLOOKUP(H491,Pcode!C:D,2,FALSE)</f>
        <v>#N/A</v>
      </c>
      <c r="J491" s="41"/>
      <c r="K491" s="160"/>
      <c r="L491" s="160"/>
      <c r="M491" s="46"/>
      <c r="N491" s="136"/>
      <c r="O491" s="136"/>
      <c r="P491" s="136"/>
      <c r="Q491" s="136"/>
      <c r="R491" s="136"/>
      <c r="S491" s="136"/>
      <c r="T491" s="136"/>
      <c r="U491" s="136"/>
      <c r="V491" s="136"/>
      <c r="W491" s="136"/>
      <c r="X491" s="136"/>
      <c r="Y491" s="136"/>
      <c r="Z491" s="136"/>
      <c r="AA491" s="231"/>
    </row>
    <row r="492" spans="1:27" x14ac:dyDescent="0.2">
      <c r="A492" s="39"/>
      <c r="B492" s="39"/>
      <c r="C492" s="43"/>
      <c r="D492" s="43"/>
      <c r="E492" s="43"/>
      <c r="F492" s="132"/>
      <c r="G492" s="41" t="e">
        <f>VLOOKUP(F492,Pcode!A:B,2,FALSE)</f>
        <v>#N/A</v>
      </c>
      <c r="H492" s="41"/>
      <c r="I492" s="41" t="e">
        <f>VLOOKUP(H492,Pcode!C:D,2,FALSE)</f>
        <v>#N/A</v>
      </c>
      <c r="J492" s="41"/>
      <c r="K492" s="160"/>
      <c r="L492" s="160"/>
      <c r="M492" s="46"/>
      <c r="N492" s="136"/>
      <c r="O492" s="136"/>
      <c r="P492" s="136"/>
      <c r="Q492" s="136"/>
      <c r="R492" s="136"/>
      <c r="S492" s="136"/>
      <c r="T492" s="136"/>
      <c r="U492" s="136"/>
      <c r="V492" s="136"/>
      <c r="W492" s="136"/>
      <c r="X492" s="136"/>
      <c r="Y492" s="136"/>
      <c r="Z492" s="136"/>
      <c r="AA492" s="231"/>
    </row>
    <row r="493" spans="1:27" x14ac:dyDescent="0.2">
      <c r="A493" s="39"/>
      <c r="B493" s="39"/>
      <c r="C493" s="43"/>
      <c r="D493" s="43"/>
      <c r="E493" s="43"/>
      <c r="F493" s="132"/>
      <c r="G493" s="41" t="e">
        <f>VLOOKUP(F493,Pcode!A:B,2,FALSE)</f>
        <v>#N/A</v>
      </c>
      <c r="H493" s="41"/>
      <c r="I493" s="41" t="e">
        <f>VLOOKUP(H493,Pcode!C:D,2,FALSE)</f>
        <v>#N/A</v>
      </c>
      <c r="J493" s="41"/>
      <c r="K493" s="160"/>
      <c r="L493" s="160"/>
      <c r="M493" s="46"/>
      <c r="N493" s="136"/>
      <c r="O493" s="136"/>
      <c r="P493" s="136"/>
      <c r="Q493" s="136"/>
      <c r="R493" s="136"/>
      <c r="S493" s="136"/>
      <c r="T493" s="136"/>
      <c r="U493" s="136"/>
      <c r="V493" s="136"/>
      <c r="W493" s="136"/>
      <c r="X493" s="136"/>
      <c r="Y493" s="136"/>
      <c r="Z493" s="136"/>
      <c r="AA493" s="231"/>
    </row>
    <row r="494" spans="1:27" x14ac:dyDescent="0.2">
      <c r="A494" s="39"/>
      <c r="B494" s="39"/>
      <c r="C494" s="43"/>
      <c r="D494" s="43"/>
      <c r="E494" s="43"/>
      <c r="F494" s="132"/>
      <c r="G494" s="41" t="e">
        <f>VLOOKUP(F494,Pcode!A:B,2,FALSE)</f>
        <v>#N/A</v>
      </c>
      <c r="H494" s="41"/>
      <c r="I494" s="41" t="e">
        <f>VLOOKUP(H494,Pcode!C:D,2,FALSE)</f>
        <v>#N/A</v>
      </c>
      <c r="J494" s="41"/>
      <c r="K494" s="160"/>
      <c r="L494" s="160"/>
      <c r="M494" s="46"/>
      <c r="N494" s="136"/>
      <c r="O494" s="136"/>
      <c r="P494" s="136"/>
      <c r="Q494" s="136"/>
      <c r="R494" s="136"/>
      <c r="S494" s="136"/>
      <c r="T494" s="136"/>
      <c r="U494" s="136"/>
      <c r="V494" s="136"/>
      <c r="W494" s="136"/>
      <c r="X494" s="136"/>
      <c r="Y494" s="136"/>
      <c r="Z494" s="136"/>
      <c r="AA494" s="231"/>
    </row>
    <row r="495" spans="1:27" x14ac:dyDescent="0.2">
      <c r="A495" s="39"/>
      <c r="B495" s="39"/>
      <c r="C495" s="43"/>
      <c r="D495" s="43"/>
      <c r="E495" s="43"/>
      <c r="F495" s="132"/>
      <c r="G495" s="41" t="e">
        <f>VLOOKUP(F495,Pcode!A:B,2,FALSE)</f>
        <v>#N/A</v>
      </c>
      <c r="H495" s="41"/>
      <c r="I495" s="41" t="e">
        <f>VLOOKUP(H495,Pcode!C:D,2,FALSE)</f>
        <v>#N/A</v>
      </c>
      <c r="J495" s="41"/>
      <c r="K495" s="160"/>
      <c r="L495" s="160"/>
      <c r="M495" s="46"/>
      <c r="N495" s="136"/>
      <c r="O495" s="136"/>
      <c r="P495" s="136"/>
      <c r="Q495" s="136"/>
      <c r="R495" s="136"/>
      <c r="S495" s="136"/>
      <c r="T495" s="136"/>
      <c r="U495" s="136"/>
      <c r="V495" s="136"/>
      <c r="W495" s="136"/>
      <c r="X495" s="136"/>
      <c r="Y495" s="136"/>
      <c r="Z495" s="136"/>
      <c r="AA495" s="231"/>
    </row>
    <row r="496" spans="1:27" x14ac:dyDescent="0.2">
      <c r="A496" s="39"/>
      <c r="B496" s="39"/>
      <c r="C496" s="43"/>
      <c r="D496" s="43"/>
      <c r="E496" s="43"/>
      <c r="F496" s="132"/>
      <c r="G496" s="41" t="e">
        <f>VLOOKUP(F496,Pcode!A:B,2,FALSE)</f>
        <v>#N/A</v>
      </c>
      <c r="H496" s="41"/>
      <c r="I496" s="41" t="e">
        <f>VLOOKUP(H496,Pcode!C:D,2,FALSE)</f>
        <v>#N/A</v>
      </c>
      <c r="J496" s="41"/>
      <c r="K496" s="160"/>
      <c r="L496" s="160"/>
      <c r="M496" s="46"/>
      <c r="N496" s="136"/>
      <c r="O496" s="136"/>
      <c r="P496" s="136"/>
      <c r="Q496" s="136"/>
      <c r="R496" s="136"/>
      <c r="S496" s="136"/>
      <c r="T496" s="136"/>
      <c r="U496" s="136"/>
      <c r="V496" s="136"/>
      <c r="W496" s="136"/>
      <c r="X496" s="136"/>
      <c r="Y496" s="136"/>
      <c r="Z496" s="136"/>
      <c r="AA496" s="231"/>
    </row>
    <row r="497" spans="1:27" x14ac:dyDescent="0.2">
      <c r="A497" s="39"/>
      <c r="B497" s="39"/>
      <c r="C497" s="43"/>
      <c r="D497" s="43"/>
      <c r="E497" s="43"/>
      <c r="F497" s="132"/>
      <c r="G497" s="41" t="e">
        <f>VLOOKUP(F497,Pcode!A:B,2,FALSE)</f>
        <v>#N/A</v>
      </c>
      <c r="H497" s="41"/>
      <c r="I497" s="41" t="e">
        <f>VLOOKUP(H497,Pcode!C:D,2,FALSE)</f>
        <v>#N/A</v>
      </c>
      <c r="J497" s="41"/>
      <c r="K497" s="160"/>
      <c r="L497" s="160"/>
      <c r="M497" s="46"/>
      <c r="N497" s="136"/>
      <c r="O497" s="136"/>
      <c r="P497" s="136"/>
      <c r="Q497" s="136"/>
      <c r="R497" s="136"/>
      <c r="S497" s="136"/>
      <c r="T497" s="136"/>
      <c r="U497" s="136"/>
      <c r="V497" s="136"/>
      <c r="W497" s="136"/>
      <c r="X497" s="136"/>
      <c r="Y497" s="136"/>
      <c r="Z497" s="136"/>
      <c r="AA497" s="231"/>
    </row>
    <row r="498" spans="1:27" x14ac:dyDescent="0.2">
      <c r="A498" s="39"/>
      <c r="B498" s="39"/>
      <c r="C498" s="43"/>
      <c r="D498" s="43"/>
      <c r="E498" s="43"/>
      <c r="F498" s="132"/>
      <c r="G498" s="41" t="e">
        <f>VLOOKUP(F498,Pcode!A:B,2,FALSE)</f>
        <v>#N/A</v>
      </c>
      <c r="H498" s="41"/>
      <c r="I498" s="41" t="e">
        <f>VLOOKUP(H498,Pcode!C:D,2,FALSE)</f>
        <v>#N/A</v>
      </c>
      <c r="J498" s="41"/>
      <c r="K498" s="160"/>
      <c r="L498" s="160"/>
      <c r="M498" s="46"/>
      <c r="N498" s="136"/>
      <c r="O498" s="136"/>
      <c r="P498" s="136"/>
      <c r="Q498" s="136"/>
      <c r="R498" s="136"/>
      <c r="S498" s="136"/>
      <c r="T498" s="136"/>
      <c r="U498" s="136"/>
      <c r="V498" s="136"/>
      <c r="W498" s="136"/>
      <c r="X498" s="136"/>
      <c r="Y498" s="136"/>
      <c r="Z498" s="136"/>
      <c r="AA498" s="231"/>
    </row>
    <row r="499" spans="1:27" x14ac:dyDescent="0.2">
      <c r="A499" s="39"/>
      <c r="B499" s="39"/>
      <c r="C499" s="43"/>
      <c r="D499" s="43"/>
      <c r="E499" s="43"/>
      <c r="F499" s="132"/>
      <c r="G499" s="41" t="e">
        <f>VLOOKUP(F499,Pcode!A:B,2,FALSE)</f>
        <v>#N/A</v>
      </c>
      <c r="H499" s="41"/>
      <c r="I499" s="41" t="e">
        <f>VLOOKUP(H499,Pcode!C:D,2,FALSE)</f>
        <v>#N/A</v>
      </c>
      <c r="J499" s="41"/>
      <c r="K499" s="160"/>
      <c r="L499" s="160"/>
      <c r="M499" s="46"/>
      <c r="N499" s="136"/>
      <c r="O499" s="136"/>
      <c r="P499" s="136"/>
      <c r="Q499" s="136"/>
      <c r="R499" s="136"/>
      <c r="S499" s="136"/>
      <c r="T499" s="136"/>
      <c r="U499" s="136"/>
      <c r="V499" s="136"/>
      <c r="W499" s="136"/>
      <c r="X499" s="136"/>
      <c r="Y499" s="136"/>
      <c r="Z499" s="136"/>
      <c r="AA499" s="231"/>
    </row>
    <row r="500" spans="1:27" x14ac:dyDescent="0.2">
      <c r="A500" s="39"/>
      <c r="B500" s="39"/>
      <c r="C500" s="43"/>
      <c r="D500" s="43"/>
      <c r="E500" s="43"/>
      <c r="F500" s="132"/>
      <c r="G500" s="41" t="e">
        <f>VLOOKUP(F500,Pcode!A:B,2,FALSE)</f>
        <v>#N/A</v>
      </c>
      <c r="H500" s="41"/>
      <c r="I500" s="41" t="e">
        <f>VLOOKUP(H500,Pcode!C:D,2,FALSE)</f>
        <v>#N/A</v>
      </c>
      <c r="J500" s="41"/>
      <c r="K500" s="160"/>
      <c r="L500" s="160"/>
      <c r="M500" s="46"/>
      <c r="N500" s="136"/>
      <c r="O500" s="136"/>
      <c r="P500" s="136"/>
      <c r="Q500" s="136"/>
      <c r="R500" s="136"/>
      <c r="S500" s="136"/>
      <c r="T500" s="136"/>
      <c r="U500" s="136"/>
      <c r="V500" s="136"/>
      <c r="W500" s="136"/>
      <c r="X500" s="136"/>
      <c r="Y500" s="136"/>
      <c r="Z500" s="136"/>
      <c r="AA500" s="231"/>
    </row>
    <row r="501" spans="1:27" x14ac:dyDescent="0.2">
      <c r="A501" s="39"/>
      <c r="B501" s="39"/>
      <c r="C501" s="43"/>
      <c r="D501" s="43"/>
      <c r="E501" s="43"/>
      <c r="F501" s="132"/>
      <c r="G501" s="41" t="e">
        <f>VLOOKUP(F501,Pcode!A:B,2,FALSE)</f>
        <v>#N/A</v>
      </c>
      <c r="H501" s="41"/>
      <c r="I501" s="41" t="e">
        <f>VLOOKUP(H501,Pcode!C:D,2,FALSE)</f>
        <v>#N/A</v>
      </c>
      <c r="J501" s="41"/>
      <c r="K501" s="160"/>
      <c r="L501" s="160"/>
      <c r="M501" s="46"/>
      <c r="N501" s="136"/>
      <c r="O501" s="136"/>
      <c r="P501" s="136"/>
      <c r="Q501" s="136"/>
      <c r="R501" s="136"/>
      <c r="S501" s="136"/>
      <c r="T501" s="136"/>
      <c r="U501" s="136"/>
      <c r="V501" s="136"/>
      <c r="W501" s="136"/>
      <c r="X501" s="136"/>
      <c r="Y501" s="136"/>
      <c r="Z501" s="136"/>
      <c r="AA501" s="231"/>
    </row>
    <row r="502" spans="1:27" x14ac:dyDescent="0.2">
      <c r="A502" s="39"/>
      <c r="B502" s="39"/>
      <c r="C502" s="43"/>
      <c r="D502" s="43"/>
      <c r="E502" s="43"/>
      <c r="F502" s="132"/>
      <c r="G502" s="41" t="e">
        <f>VLOOKUP(F502,Pcode!A:B,2,FALSE)</f>
        <v>#N/A</v>
      </c>
      <c r="H502" s="41"/>
      <c r="I502" s="41" t="e">
        <f>VLOOKUP(H502,Pcode!C:D,2,FALSE)</f>
        <v>#N/A</v>
      </c>
      <c r="J502" s="41"/>
      <c r="K502" s="160"/>
      <c r="L502" s="160"/>
      <c r="M502" s="46"/>
      <c r="N502" s="136"/>
      <c r="O502" s="136"/>
      <c r="P502" s="136"/>
      <c r="Q502" s="136"/>
      <c r="R502" s="136"/>
      <c r="S502" s="136"/>
      <c r="T502" s="136"/>
      <c r="U502" s="136"/>
      <c r="V502" s="136"/>
      <c r="W502" s="136"/>
      <c r="X502" s="136"/>
      <c r="Y502" s="136"/>
      <c r="Z502" s="136"/>
      <c r="AA502" s="231"/>
    </row>
    <row r="503" spans="1:27" x14ac:dyDescent="0.2">
      <c r="A503" s="39"/>
      <c r="B503" s="39"/>
      <c r="C503" s="43"/>
      <c r="D503" s="43"/>
      <c r="E503" s="43"/>
      <c r="F503" s="132"/>
      <c r="G503" s="41" t="e">
        <f>VLOOKUP(F503,Pcode!A:B,2,FALSE)</f>
        <v>#N/A</v>
      </c>
      <c r="H503" s="41"/>
      <c r="I503" s="41" t="e">
        <f>VLOOKUP(H503,Pcode!C:D,2,FALSE)</f>
        <v>#N/A</v>
      </c>
      <c r="J503" s="41"/>
      <c r="K503" s="160"/>
      <c r="L503" s="160"/>
      <c r="M503" s="46"/>
      <c r="N503" s="136"/>
      <c r="O503" s="136"/>
      <c r="P503" s="136"/>
      <c r="Q503" s="136"/>
      <c r="R503" s="136"/>
      <c r="S503" s="136"/>
      <c r="T503" s="136"/>
      <c r="U503" s="136"/>
      <c r="V503" s="136"/>
      <c r="W503" s="136"/>
      <c r="X503" s="136"/>
      <c r="Y503" s="136"/>
      <c r="Z503" s="136"/>
      <c r="AA503" s="231"/>
    </row>
    <row r="504" spans="1:27" x14ac:dyDescent="0.2">
      <c r="A504" s="39"/>
      <c r="B504" s="39"/>
      <c r="C504" s="43"/>
      <c r="D504" s="43"/>
      <c r="E504" s="43"/>
      <c r="F504" s="132"/>
      <c r="G504" s="41" t="e">
        <f>VLOOKUP(F504,Pcode!A:B,2,FALSE)</f>
        <v>#N/A</v>
      </c>
      <c r="H504" s="41"/>
      <c r="I504" s="41" t="e">
        <f>VLOOKUP(H504,Pcode!C:D,2,FALSE)</f>
        <v>#N/A</v>
      </c>
      <c r="J504" s="41"/>
      <c r="K504" s="160"/>
      <c r="L504" s="160"/>
      <c r="M504" s="46"/>
      <c r="N504" s="136"/>
      <c r="O504" s="136"/>
      <c r="P504" s="136"/>
      <c r="Q504" s="136"/>
      <c r="R504" s="136"/>
      <c r="S504" s="136"/>
      <c r="T504" s="136"/>
      <c r="U504" s="136"/>
      <c r="V504" s="136"/>
      <c r="W504" s="136"/>
      <c r="X504" s="136"/>
      <c r="Y504" s="136"/>
      <c r="Z504" s="136"/>
      <c r="AA504" s="231"/>
    </row>
    <row r="505" spans="1:27" x14ac:dyDescent="0.2">
      <c r="A505" s="39"/>
      <c r="B505" s="39"/>
      <c r="C505" s="43"/>
      <c r="D505" s="43"/>
      <c r="E505" s="43"/>
      <c r="F505" s="132"/>
      <c r="G505" s="41" t="e">
        <f>VLOOKUP(F505,Pcode!A:B,2,FALSE)</f>
        <v>#N/A</v>
      </c>
      <c r="H505" s="41"/>
      <c r="I505" s="41" t="e">
        <f>VLOOKUP(H505,Pcode!C:D,2,FALSE)</f>
        <v>#N/A</v>
      </c>
      <c r="J505" s="41"/>
      <c r="K505" s="160"/>
      <c r="L505" s="160"/>
      <c r="M505" s="46"/>
      <c r="N505" s="136"/>
      <c r="O505" s="136"/>
      <c r="P505" s="136"/>
      <c r="Q505" s="136"/>
      <c r="R505" s="136"/>
      <c r="S505" s="136"/>
      <c r="T505" s="136"/>
      <c r="U505" s="136"/>
      <c r="V505" s="136"/>
      <c r="W505" s="136"/>
      <c r="X505" s="136"/>
      <c r="Y505" s="136"/>
      <c r="Z505" s="136"/>
      <c r="AA505" s="231"/>
    </row>
    <row r="506" spans="1:27" x14ac:dyDescent="0.2">
      <c r="A506" s="39"/>
      <c r="B506" s="39"/>
      <c r="C506" s="43"/>
      <c r="D506" s="43"/>
      <c r="E506" s="43"/>
      <c r="F506" s="132"/>
      <c r="G506" s="41" t="e">
        <f>VLOOKUP(F506,Pcode!A:B,2,FALSE)</f>
        <v>#N/A</v>
      </c>
      <c r="H506" s="41"/>
      <c r="I506" s="41" t="e">
        <f>VLOOKUP(H506,Pcode!C:D,2,FALSE)</f>
        <v>#N/A</v>
      </c>
      <c r="J506" s="41"/>
      <c r="K506" s="160"/>
      <c r="L506" s="160"/>
      <c r="M506" s="46"/>
      <c r="N506" s="136"/>
      <c r="O506" s="136"/>
      <c r="P506" s="136"/>
      <c r="Q506" s="136"/>
      <c r="R506" s="136"/>
      <c r="S506" s="136"/>
      <c r="T506" s="136"/>
      <c r="U506" s="136"/>
      <c r="V506" s="136"/>
      <c r="W506" s="136"/>
      <c r="X506" s="136"/>
      <c r="Y506" s="136"/>
      <c r="Z506" s="136"/>
      <c r="AA506" s="231"/>
    </row>
    <row r="507" spans="1:27" x14ac:dyDescent="0.2">
      <c r="A507" s="39"/>
      <c r="B507" s="39"/>
      <c r="C507" s="43"/>
      <c r="D507" s="43"/>
      <c r="E507" s="43"/>
      <c r="F507" s="132"/>
      <c r="G507" s="41" t="e">
        <f>VLOOKUP(F507,Pcode!A:B,2,FALSE)</f>
        <v>#N/A</v>
      </c>
      <c r="H507" s="41"/>
      <c r="I507" s="41" t="e">
        <f>VLOOKUP(H507,Pcode!C:D,2,FALSE)</f>
        <v>#N/A</v>
      </c>
      <c r="J507" s="41"/>
      <c r="K507" s="160"/>
      <c r="L507" s="160"/>
      <c r="M507" s="46"/>
      <c r="N507" s="136"/>
      <c r="O507" s="136"/>
      <c r="P507" s="136"/>
      <c r="Q507" s="136"/>
      <c r="R507" s="136"/>
      <c r="S507" s="136"/>
      <c r="T507" s="136"/>
      <c r="U507" s="136"/>
      <c r="V507" s="136"/>
      <c r="W507" s="136"/>
      <c r="X507" s="136"/>
      <c r="Y507" s="136"/>
      <c r="Z507" s="136"/>
      <c r="AA507" s="231"/>
    </row>
    <row r="508" spans="1:27" x14ac:dyDescent="0.2">
      <c r="A508" s="39"/>
      <c r="B508" s="39"/>
      <c r="C508" s="43"/>
      <c r="D508" s="43"/>
      <c r="E508" s="43"/>
      <c r="F508" s="132"/>
      <c r="G508" s="41" t="e">
        <f>VLOOKUP(F508,Pcode!A:B,2,FALSE)</f>
        <v>#N/A</v>
      </c>
      <c r="H508" s="41"/>
      <c r="I508" s="41" t="e">
        <f>VLOOKUP(H508,Pcode!C:D,2,FALSE)</f>
        <v>#N/A</v>
      </c>
      <c r="J508" s="41"/>
      <c r="K508" s="160"/>
      <c r="L508" s="160"/>
      <c r="M508" s="46"/>
      <c r="N508" s="136"/>
      <c r="O508" s="136"/>
      <c r="P508" s="136"/>
      <c r="Q508" s="136"/>
      <c r="R508" s="136"/>
      <c r="S508" s="136"/>
      <c r="T508" s="136"/>
      <c r="U508" s="136"/>
      <c r="V508" s="136"/>
      <c r="W508" s="136"/>
      <c r="X508" s="136"/>
      <c r="Y508" s="136"/>
      <c r="Z508" s="136"/>
      <c r="AA508" s="231"/>
    </row>
    <row r="509" spans="1:27" x14ac:dyDescent="0.2">
      <c r="A509" s="39"/>
      <c r="B509" s="39"/>
      <c r="C509" s="43"/>
      <c r="D509" s="43"/>
      <c r="E509" s="43"/>
      <c r="F509" s="132"/>
      <c r="G509" s="41" t="e">
        <f>VLOOKUP(F509,Pcode!A:B,2,FALSE)</f>
        <v>#N/A</v>
      </c>
      <c r="H509" s="41"/>
      <c r="I509" s="41" t="e">
        <f>VLOOKUP(H509,Pcode!C:D,2,FALSE)</f>
        <v>#N/A</v>
      </c>
      <c r="J509" s="41"/>
      <c r="K509" s="160"/>
      <c r="L509" s="160"/>
      <c r="M509" s="46"/>
      <c r="N509" s="136"/>
      <c r="O509" s="136"/>
      <c r="P509" s="136"/>
      <c r="Q509" s="136"/>
      <c r="R509" s="136"/>
      <c r="S509" s="136"/>
      <c r="T509" s="136"/>
      <c r="U509" s="136"/>
      <c r="V509" s="136"/>
      <c r="W509" s="136"/>
      <c r="X509" s="136"/>
      <c r="Y509" s="136"/>
      <c r="Z509" s="136"/>
      <c r="AA509" s="231"/>
    </row>
    <row r="510" spans="1:27" x14ac:dyDescent="0.2">
      <c r="A510" s="39"/>
      <c r="B510" s="39"/>
      <c r="C510" s="43"/>
      <c r="D510" s="43"/>
      <c r="E510" s="43"/>
      <c r="F510" s="132"/>
      <c r="G510" s="41" t="e">
        <f>VLOOKUP(F510,Pcode!A:B,2,FALSE)</f>
        <v>#N/A</v>
      </c>
      <c r="H510" s="41"/>
      <c r="I510" s="41" t="e">
        <f>VLOOKUP(H510,Pcode!C:D,2,FALSE)</f>
        <v>#N/A</v>
      </c>
      <c r="J510" s="41"/>
      <c r="K510" s="160"/>
      <c r="L510" s="160"/>
      <c r="M510" s="46"/>
      <c r="N510" s="136"/>
      <c r="O510" s="136"/>
      <c r="P510" s="136"/>
      <c r="Q510" s="136"/>
      <c r="R510" s="136"/>
      <c r="S510" s="136"/>
      <c r="T510" s="136"/>
      <c r="U510" s="136"/>
      <c r="V510" s="136"/>
      <c r="W510" s="136"/>
      <c r="X510" s="136"/>
      <c r="Y510" s="136"/>
      <c r="Z510" s="136"/>
      <c r="AA510" s="231"/>
    </row>
    <row r="511" spans="1:27" x14ac:dyDescent="0.2">
      <c r="A511" s="39"/>
      <c r="B511" s="39"/>
      <c r="C511" s="43"/>
      <c r="D511" s="43"/>
      <c r="E511" s="43"/>
      <c r="F511" s="132"/>
      <c r="G511" s="41" t="e">
        <f>VLOOKUP(F511,Pcode!A:B,2,FALSE)</f>
        <v>#N/A</v>
      </c>
      <c r="H511" s="41"/>
      <c r="I511" s="41" t="e">
        <f>VLOOKUP(H511,Pcode!C:D,2,FALSE)</f>
        <v>#N/A</v>
      </c>
      <c r="J511" s="41"/>
      <c r="K511" s="160"/>
      <c r="L511" s="160"/>
      <c r="M511" s="46"/>
      <c r="N511" s="136"/>
      <c r="O511" s="136"/>
      <c r="P511" s="136"/>
      <c r="Q511" s="136"/>
      <c r="R511" s="136"/>
      <c r="S511" s="136"/>
      <c r="T511" s="136"/>
      <c r="U511" s="136"/>
      <c r="V511" s="136"/>
      <c r="W511" s="136"/>
      <c r="X511" s="136"/>
      <c r="Y511" s="136"/>
      <c r="Z511" s="136"/>
      <c r="AA511" s="231"/>
    </row>
    <row r="512" spans="1:27" x14ac:dyDescent="0.2">
      <c r="A512" s="39"/>
      <c r="B512" s="39"/>
      <c r="C512" s="43"/>
      <c r="D512" s="43"/>
      <c r="E512" s="43"/>
      <c r="F512" s="132"/>
      <c r="G512" s="41" t="e">
        <f>VLOOKUP(F512,Pcode!A:B,2,FALSE)</f>
        <v>#N/A</v>
      </c>
      <c r="H512" s="41"/>
      <c r="I512" s="41" t="e">
        <f>VLOOKUP(H512,Pcode!C:D,2,FALSE)</f>
        <v>#N/A</v>
      </c>
      <c r="J512" s="41"/>
      <c r="K512" s="160"/>
      <c r="L512" s="160"/>
      <c r="M512" s="46"/>
      <c r="N512" s="136"/>
      <c r="O512" s="136"/>
      <c r="P512" s="136"/>
      <c r="Q512" s="136"/>
      <c r="R512" s="136"/>
      <c r="S512" s="136"/>
      <c r="T512" s="136"/>
      <c r="U512" s="136"/>
      <c r="V512" s="136"/>
      <c r="W512" s="136"/>
      <c r="X512" s="136"/>
      <c r="Y512" s="136"/>
      <c r="Z512" s="136"/>
      <c r="AA512" s="231"/>
    </row>
    <row r="513" spans="1:27" x14ac:dyDescent="0.2">
      <c r="A513" s="39"/>
      <c r="B513" s="39"/>
      <c r="C513" s="43"/>
      <c r="D513" s="43"/>
      <c r="E513" s="43"/>
      <c r="F513" s="132"/>
      <c r="G513" s="41" t="e">
        <f>VLOOKUP(F513,Pcode!A:B,2,FALSE)</f>
        <v>#N/A</v>
      </c>
      <c r="H513" s="41"/>
      <c r="I513" s="41" t="e">
        <f>VLOOKUP(H513,Pcode!C:D,2,FALSE)</f>
        <v>#N/A</v>
      </c>
      <c r="J513" s="41"/>
      <c r="K513" s="160"/>
      <c r="L513" s="160"/>
      <c r="M513" s="46"/>
      <c r="N513" s="136"/>
      <c r="O513" s="136"/>
      <c r="P513" s="136"/>
      <c r="Q513" s="136"/>
      <c r="R513" s="136"/>
      <c r="S513" s="136"/>
      <c r="T513" s="136"/>
      <c r="U513" s="136"/>
      <c r="V513" s="136"/>
      <c r="W513" s="136"/>
      <c r="X513" s="136"/>
      <c r="Y513" s="136"/>
      <c r="Z513" s="136"/>
      <c r="AA513" s="231"/>
    </row>
    <row r="514" spans="1:27" x14ac:dyDescent="0.2">
      <c r="A514" s="39"/>
      <c r="B514" s="39"/>
      <c r="C514" s="43"/>
      <c r="D514" s="43"/>
      <c r="E514" s="43"/>
      <c r="F514" s="132"/>
      <c r="G514" s="41" t="e">
        <f>VLOOKUP(F514,Pcode!A:B,2,FALSE)</f>
        <v>#N/A</v>
      </c>
      <c r="H514" s="41"/>
      <c r="I514" s="41" t="e">
        <f>VLOOKUP(H514,Pcode!C:D,2,FALSE)</f>
        <v>#N/A</v>
      </c>
      <c r="J514" s="41"/>
      <c r="K514" s="160"/>
      <c r="L514" s="160"/>
      <c r="M514" s="46"/>
      <c r="N514" s="136"/>
      <c r="O514" s="136"/>
      <c r="P514" s="136"/>
      <c r="Q514" s="136"/>
      <c r="R514" s="136"/>
      <c r="S514" s="136"/>
      <c r="T514" s="136"/>
      <c r="U514" s="136"/>
      <c r="V514" s="136"/>
      <c r="W514" s="136"/>
      <c r="X514" s="136"/>
      <c r="Y514" s="136"/>
      <c r="Z514" s="136"/>
      <c r="AA514" s="231"/>
    </row>
    <row r="515" spans="1:27" x14ac:dyDescent="0.2">
      <c r="A515" s="39"/>
      <c r="B515" s="39"/>
      <c r="C515" s="43"/>
      <c r="D515" s="43"/>
      <c r="E515" s="43"/>
      <c r="F515" s="132"/>
      <c r="G515" s="41" t="e">
        <f>VLOOKUP(F515,Pcode!A:B,2,FALSE)</f>
        <v>#N/A</v>
      </c>
      <c r="H515" s="41"/>
      <c r="I515" s="41" t="e">
        <f>VLOOKUP(H515,Pcode!C:D,2,FALSE)</f>
        <v>#N/A</v>
      </c>
      <c r="J515" s="41"/>
      <c r="K515" s="160"/>
      <c r="L515" s="160"/>
      <c r="M515" s="46"/>
      <c r="N515" s="136"/>
      <c r="O515" s="136"/>
      <c r="P515" s="136"/>
      <c r="Q515" s="136"/>
      <c r="R515" s="136"/>
      <c r="S515" s="136"/>
      <c r="T515" s="136"/>
      <c r="U515" s="136"/>
      <c r="V515" s="136"/>
      <c r="W515" s="136"/>
      <c r="X515" s="136"/>
      <c r="Y515" s="136"/>
      <c r="Z515" s="136"/>
      <c r="AA515" s="231"/>
    </row>
    <row r="516" spans="1:27" x14ac:dyDescent="0.2">
      <c r="A516" s="39"/>
      <c r="B516" s="39"/>
      <c r="C516" s="43"/>
      <c r="D516" s="43"/>
      <c r="E516" s="43"/>
      <c r="F516" s="132"/>
      <c r="G516" s="41" t="e">
        <f>VLOOKUP(F516,Pcode!A:B,2,FALSE)</f>
        <v>#N/A</v>
      </c>
      <c r="H516" s="41"/>
      <c r="I516" s="41" t="e">
        <f>VLOOKUP(H516,Pcode!C:D,2,FALSE)</f>
        <v>#N/A</v>
      </c>
      <c r="J516" s="41"/>
      <c r="K516" s="160"/>
      <c r="L516" s="160"/>
      <c r="M516" s="46"/>
      <c r="N516" s="136"/>
      <c r="O516" s="136"/>
      <c r="P516" s="136"/>
      <c r="Q516" s="136"/>
      <c r="R516" s="136"/>
      <c r="S516" s="136"/>
      <c r="T516" s="136"/>
      <c r="U516" s="136"/>
      <c r="V516" s="136"/>
      <c r="W516" s="136"/>
      <c r="X516" s="136"/>
      <c r="Y516" s="136"/>
      <c r="Z516" s="136"/>
      <c r="AA516" s="231"/>
    </row>
    <row r="517" spans="1:27" x14ac:dyDescent="0.2">
      <c r="A517" s="39"/>
      <c r="B517" s="39"/>
      <c r="C517" s="43"/>
      <c r="D517" s="43"/>
      <c r="E517" s="43"/>
      <c r="F517" s="132"/>
      <c r="G517" s="41" t="e">
        <f>VLOOKUP(F517,Pcode!A:B,2,FALSE)</f>
        <v>#N/A</v>
      </c>
      <c r="H517" s="41"/>
      <c r="I517" s="41" t="e">
        <f>VLOOKUP(H517,Pcode!C:D,2,FALSE)</f>
        <v>#N/A</v>
      </c>
      <c r="J517" s="41"/>
      <c r="K517" s="160"/>
      <c r="L517" s="160"/>
      <c r="M517" s="46"/>
      <c r="N517" s="136"/>
      <c r="O517" s="136"/>
      <c r="P517" s="136"/>
      <c r="Q517" s="136"/>
      <c r="R517" s="136"/>
      <c r="S517" s="136"/>
      <c r="T517" s="136"/>
      <c r="U517" s="136"/>
      <c r="V517" s="136"/>
      <c r="W517" s="136"/>
      <c r="X517" s="136"/>
      <c r="Y517" s="136"/>
      <c r="Z517" s="136"/>
      <c r="AA517" s="231"/>
    </row>
    <row r="518" spans="1:27" x14ac:dyDescent="0.2">
      <c r="A518" s="39"/>
      <c r="B518" s="39"/>
      <c r="C518" s="43"/>
      <c r="D518" s="43"/>
      <c r="E518" s="43"/>
      <c r="F518" s="132"/>
      <c r="G518" s="41" t="e">
        <f>VLOOKUP(F518,Pcode!A:B,2,FALSE)</f>
        <v>#N/A</v>
      </c>
      <c r="H518" s="41"/>
      <c r="I518" s="41" t="e">
        <f>VLOOKUP(H518,Pcode!C:D,2,FALSE)</f>
        <v>#N/A</v>
      </c>
      <c r="J518" s="41"/>
      <c r="K518" s="160"/>
      <c r="L518" s="160"/>
      <c r="M518" s="46"/>
      <c r="N518" s="136"/>
      <c r="O518" s="136"/>
      <c r="P518" s="136"/>
      <c r="Q518" s="136"/>
      <c r="R518" s="136"/>
      <c r="S518" s="136"/>
      <c r="T518" s="136"/>
      <c r="U518" s="136"/>
      <c r="V518" s="136"/>
      <c r="W518" s="136"/>
      <c r="X518" s="136"/>
      <c r="Y518" s="136"/>
      <c r="Z518" s="136"/>
      <c r="AA518" s="231"/>
    </row>
    <row r="519" spans="1:27" x14ac:dyDescent="0.2">
      <c r="A519" s="39"/>
      <c r="B519" s="39"/>
      <c r="C519" s="43"/>
      <c r="D519" s="43"/>
      <c r="E519" s="43"/>
      <c r="F519" s="132"/>
      <c r="G519" s="41" t="e">
        <f>VLOOKUP(F519,Pcode!A:B,2,FALSE)</f>
        <v>#N/A</v>
      </c>
      <c r="H519" s="41"/>
      <c r="I519" s="41" t="e">
        <f>VLOOKUP(H519,Pcode!C:D,2,FALSE)</f>
        <v>#N/A</v>
      </c>
      <c r="J519" s="41"/>
      <c r="K519" s="160"/>
      <c r="L519" s="160"/>
      <c r="M519" s="46"/>
      <c r="N519" s="136"/>
      <c r="O519" s="136"/>
      <c r="P519" s="136"/>
      <c r="Q519" s="136"/>
      <c r="R519" s="136"/>
      <c r="S519" s="136"/>
      <c r="T519" s="136"/>
      <c r="U519" s="136"/>
      <c r="V519" s="136"/>
      <c r="W519" s="136"/>
      <c r="X519" s="136"/>
      <c r="Y519" s="136"/>
      <c r="Z519" s="136"/>
      <c r="AA519" s="231"/>
    </row>
    <row r="520" spans="1:27" x14ac:dyDescent="0.2">
      <c r="A520" s="39"/>
      <c r="B520" s="39"/>
      <c r="C520" s="43"/>
      <c r="D520" s="43"/>
      <c r="E520" s="43"/>
      <c r="F520" s="132"/>
      <c r="G520" s="41" t="e">
        <f>VLOOKUP(F520,Pcode!A:B,2,FALSE)</f>
        <v>#N/A</v>
      </c>
      <c r="H520" s="41"/>
      <c r="I520" s="41" t="e">
        <f>VLOOKUP(H520,Pcode!C:D,2,FALSE)</f>
        <v>#N/A</v>
      </c>
      <c r="J520" s="41"/>
      <c r="K520" s="160"/>
      <c r="L520" s="160"/>
      <c r="M520" s="46"/>
      <c r="N520" s="136"/>
      <c r="O520" s="136"/>
      <c r="P520" s="136"/>
      <c r="Q520" s="136"/>
      <c r="R520" s="136"/>
      <c r="S520" s="136"/>
      <c r="T520" s="136"/>
      <c r="U520" s="136"/>
      <c r="V520" s="136"/>
      <c r="W520" s="136"/>
      <c r="X520" s="136"/>
      <c r="Y520" s="136"/>
      <c r="Z520" s="136"/>
      <c r="AA520" s="231"/>
    </row>
    <row r="521" spans="1:27" x14ac:dyDescent="0.2">
      <c r="A521" s="39"/>
      <c r="B521" s="39"/>
      <c r="C521" s="43"/>
      <c r="D521" s="43"/>
      <c r="E521" s="43"/>
      <c r="F521" s="132"/>
      <c r="G521" s="41" t="e">
        <f>VLOOKUP(F521,Pcode!A:B,2,FALSE)</f>
        <v>#N/A</v>
      </c>
      <c r="H521" s="41"/>
      <c r="I521" s="41" t="e">
        <f>VLOOKUP(H521,Pcode!C:D,2,FALSE)</f>
        <v>#N/A</v>
      </c>
      <c r="J521" s="41"/>
      <c r="K521" s="160"/>
      <c r="L521" s="160"/>
      <c r="M521" s="46"/>
      <c r="N521" s="136"/>
      <c r="O521" s="136"/>
      <c r="P521" s="136"/>
      <c r="Q521" s="136"/>
      <c r="R521" s="136"/>
      <c r="S521" s="136"/>
      <c r="T521" s="136"/>
      <c r="U521" s="136"/>
      <c r="V521" s="136"/>
      <c r="W521" s="136"/>
      <c r="X521" s="136"/>
      <c r="Y521" s="136"/>
      <c r="Z521" s="136"/>
      <c r="AA521" s="231"/>
    </row>
    <row r="522" spans="1:27" x14ac:dyDescent="0.2">
      <c r="A522" s="39"/>
      <c r="B522" s="39"/>
      <c r="C522" s="43"/>
      <c r="D522" s="43"/>
      <c r="E522" s="43"/>
      <c r="F522" s="132"/>
      <c r="G522" s="41" t="e">
        <f>VLOOKUP(F522,Pcode!A:B,2,FALSE)</f>
        <v>#N/A</v>
      </c>
      <c r="H522" s="41"/>
      <c r="I522" s="41" t="e">
        <f>VLOOKUP(H522,Pcode!C:D,2,FALSE)</f>
        <v>#N/A</v>
      </c>
      <c r="J522" s="41"/>
      <c r="K522" s="160"/>
      <c r="L522" s="160"/>
      <c r="M522" s="46"/>
      <c r="N522" s="136"/>
      <c r="O522" s="136"/>
      <c r="P522" s="136"/>
      <c r="Q522" s="136"/>
      <c r="R522" s="136"/>
      <c r="S522" s="136"/>
      <c r="T522" s="136"/>
      <c r="U522" s="136"/>
      <c r="V522" s="136"/>
      <c r="W522" s="136"/>
      <c r="X522" s="136"/>
      <c r="Y522" s="136"/>
      <c r="Z522" s="136"/>
      <c r="AA522" s="231"/>
    </row>
    <row r="523" spans="1:27" x14ac:dyDescent="0.2">
      <c r="A523" s="39"/>
      <c r="B523" s="39"/>
      <c r="C523" s="43"/>
      <c r="D523" s="43"/>
      <c r="E523" s="43"/>
      <c r="F523" s="132"/>
      <c r="G523" s="41" t="e">
        <f>VLOOKUP(F523,Pcode!A:B,2,FALSE)</f>
        <v>#N/A</v>
      </c>
      <c r="H523" s="41"/>
      <c r="I523" s="41" t="e">
        <f>VLOOKUP(H523,Pcode!C:D,2,FALSE)</f>
        <v>#N/A</v>
      </c>
      <c r="J523" s="41"/>
      <c r="K523" s="160"/>
      <c r="L523" s="160"/>
      <c r="M523" s="46"/>
      <c r="N523" s="136"/>
      <c r="O523" s="136"/>
      <c r="P523" s="136"/>
      <c r="Q523" s="136"/>
      <c r="R523" s="136"/>
      <c r="S523" s="136"/>
      <c r="T523" s="136"/>
      <c r="U523" s="136"/>
      <c r="V523" s="136"/>
      <c r="W523" s="136"/>
      <c r="X523" s="136"/>
      <c r="Y523" s="136"/>
      <c r="Z523" s="136"/>
      <c r="AA523" s="231"/>
    </row>
    <row r="524" spans="1:27" x14ac:dyDescent="0.2">
      <c r="A524" s="39"/>
      <c r="B524" s="39"/>
      <c r="C524" s="43"/>
      <c r="D524" s="43"/>
      <c r="E524" s="43"/>
      <c r="F524" s="132"/>
      <c r="G524" s="41" t="e">
        <f>VLOOKUP(F524,Pcode!A:B,2,FALSE)</f>
        <v>#N/A</v>
      </c>
      <c r="H524" s="41"/>
      <c r="I524" s="41" t="e">
        <f>VLOOKUP(H524,Pcode!C:D,2,FALSE)</f>
        <v>#N/A</v>
      </c>
      <c r="J524" s="41"/>
      <c r="K524" s="160"/>
      <c r="L524" s="160"/>
      <c r="M524" s="46"/>
      <c r="N524" s="136"/>
      <c r="O524" s="136"/>
      <c r="P524" s="136"/>
      <c r="Q524" s="136"/>
      <c r="R524" s="136"/>
      <c r="S524" s="136"/>
      <c r="T524" s="136"/>
      <c r="U524" s="136"/>
      <c r="V524" s="136"/>
      <c r="W524" s="136"/>
      <c r="X524" s="136"/>
      <c r="Y524" s="136"/>
      <c r="Z524" s="136"/>
      <c r="AA524" s="231"/>
    </row>
    <row r="525" spans="1:27" x14ac:dyDescent="0.2">
      <c r="A525" s="39"/>
      <c r="B525" s="39"/>
      <c r="C525" s="43"/>
      <c r="D525" s="43"/>
      <c r="E525" s="43"/>
      <c r="F525" s="132"/>
      <c r="G525" s="41" t="e">
        <f>VLOOKUP(F525,Pcode!A:B,2,FALSE)</f>
        <v>#N/A</v>
      </c>
      <c r="H525" s="41"/>
      <c r="I525" s="41" t="e">
        <f>VLOOKUP(H525,Pcode!C:D,2,FALSE)</f>
        <v>#N/A</v>
      </c>
      <c r="J525" s="41"/>
      <c r="K525" s="160"/>
      <c r="L525" s="160"/>
      <c r="M525" s="46"/>
      <c r="N525" s="136"/>
      <c r="O525" s="136"/>
      <c r="P525" s="136"/>
      <c r="Q525" s="136"/>
      <c r="R525" s="136"/>
      <c r="S525" s="136"/>
      <c r="T525" s="136"/>
      <c r="U525" s="136"/>
      <c r="V525" s="136"/>
      <c r="W525" s="136"/>
      <c r="X525" s="136"/>
      <c r="Y525" s="136"/>
      <c r="Z525" s="136"/>
      <c r="AA525" s="231"/>
    </row>
    <row r="526" spans="1:27" x14ac:dyDescent="0.2">
      <c r="A526" s="39"/>
      <c r="B526" s="39"/>
      <c r="C526" s="43"/>
      <c r="D526" s="43"/>
      <c r="E526" s="43"/>
      <c r="F526" s="132"/>
      <c r="G526" s="41" t="e">
        <f>VLOOKUP(F526,Pcode!A:B,2,FALSE)</f>
        <v>#N/A</v>
      </c>
      <c r="H526" s="41"/>
      <c r="I526" s="41" t="e">
        <f>VLOOKUP(H526,Pcode!C:D,2,FALSE)</f>
        <v>#N/A</v>
      </c>
      <c r="J526" s="41"/>
      <c r="K526" s="160"/>
      <c r="L526" s="160"/>
      <c r="M526" s="46"/>
      <c r="N526" s="136"/>
      <c r="O526" s="136"/>
      <c r="P526" s="136"/>
      <c r="Q526" s="136"/>
      <c r="R526" s="136"/>
      <c r="S526" s="136"/>
      <c r="T526" s="136"/>
      <c r="U526" s="136"/>
      <c r="V526" s="136"/>
      <c r="W526" s="136"/>
      <c r="X526" s="136"/>
      <c r="Y526" s="136"/>
      <c r="Z526" s="136"/>
      <c r="AA526" s="231"/>
    </row>
    <row r="527" spans="1:27" x14ac:dyDescent="0.2">
      <c r="A527" s="39"/>
      <c r="B527" s="39"/>
      <c r="C527" s="43"/>
      <c r="D527" s="43"/>
      <c r="E527" s="43"/>
      <c r="F527" s="132"/>
      <c r="G527" s="41" t="e">
        <f>VLOOKUP(F527,Pcode!A:B,2,FALSE)</f>
        <v>#N/A</v>
      </c>
      <c r="H527" s="41"/>
      <c r="I527" s="41" t="e">
        <f>VLOOKUP(H527,Pcode!C:D,2,FALSE)</f>
        <v>#N/A</v>
      </c>
      <c r="J527" s="41"/>
      <c r="K527" s="160"/>
      <c r="L527" s="160"/>
      <c r="M527" s="46"/>
      <c r="N527" s="136"/>
      <c r="O527" s="136"/>
      <c r="P527" s="136"/>
      <c r="Q527" s="136"/>
      <c r="R527" s="136"/>
      <c r="S527" s="136"/>
      <c r="T527" s="136"/>
      <c r="U527" s="136"/>
      <c r="V527" s="136"/>
      <c r="W527" s="136"/>
      <c r="X527" s="136"/>
      <c r="Y527" s="136"/>
      <c r="Z527" s="136"/>
      <c r="AA527" s="231"/>
    </row>
    <row r="528" spans="1:27" x14ac:dyDescent="0.2">
      <c r="A528" s="39"/>
      <c r="B528" s="39"/>
      <c r="C528" s="43"/>
      <c r="D528" s="43"/>
      <c r="E528" s="43"/>
      <c r="F528" s="132"/>
      <c r="G528" s="41" t="e">
        <f>VLOOKUP(F528,Pcode!A:B,2,FALSE)</f>
        <v>#N/A</v>
      </c>
      <c r="H528" s="41"/>
      <c r="I528" s="41" t="e">
        <f>VLOOKUP(H528,Pcode!C:D,2,FALSE)</f>
        <v>#N/A</v>
      </c>
      <c r="J528" s="41"/>
      <c r="K528" s="160"/>
      <c r="L528" s="160"/>
      <c r="M528" s="46"/>
      <c r="N528" s="136"/>
      <c r="O528" s="136"/>
      <c r="P528" s="136"/>
      <c r="Q528" s="136"/>
      <c r="R528" s="136"/>
      <c r="S528" s="136"/>
      <c r="T528" s="136"/>
      <c r="U528" s="136"/>
      <c r="V528" s="136"/>
      <c r="W528" s="136"/>
      <c r="X528" s="136"/>
      <c r="Y528" s="136"/>
      <c r="Z528" s="136"/>
      <c r="AA528" s="231"/>
    </row>
    <row r="529" spans="1:27" x14ac:dyDescent="0.2">
      <c r="A529" s="39"/>
      <c r="B529" s="39"/>
      <c r="C529" s="43"/>
      <c r="D529" s="43"/>
      <c r="E529" s="43"/>
      <c r="F529" s="132"/>
      <c r="G529" s="41" t="e">
        <f>VLOOKUP(F529,Pcode!A:B,2,FALSE)</f>
        <v>#N/A</v>
      </c>
      <c r="H529" s="41"/>
      <c r="I529" s="41" t="e">
        <f>VLOOKUP(H529,Pcode!C:D,2,FALSE)</f>
        <v>#N/A</v>
      </c>
      <c r="J529" s="41"/>
      <c r="K529" s="160"/>
      <c r="L529" s="160"/>
      <c r="M529" s="46"/>
      <c r="N529" s="136"/>
      <c r="O529" s="136"/>
      <c r="P529" s="136"/>
      <c r="Q529" s="136"/>
      <c r="R529" s="136"/>
      <c r="S529" s="136"/>
      <c r="T529" s="136"/>
      <c r="U529" s="136"/>
      <c r="V529" s="136"/>
      <c r="W529" s="136"/>
      <c r="X529" s="136"/>
      <c r="Y529" s="136"/>
      <c r="Z529" s="136"/>
      <c r="AA529" s="231"/>
    </row>
    <row r="530" spans="1:27" x14ac:dyDescent="0.2">
      <c r="A530" s="39"/>
      <c r="B530" s="39"/>
      <c r="C530" s="43"/>
      <c r="D530" s="43"/>
      <c r="E530" s="43"/>
      <c r="F530" s="132"/>
      <c r="G530" s="41" t="e">
        <f>VLOOKUP(F530,Pcode!A:B,2,FALSE)</f>
        <v>#N/A</v>
      </c>
      <c r="H530" s="41"/>
      <c r="I530" s="41" t="e">
        <f>VLOOKUP(H530,Pcode!C:D,2,FALSE)</f>
        <v>#N/A</v>
      </c>
      <c r="J530" s="41"/>
      <c r="K530" s="160"/>
      <c r="L530" s="160"/>
      <c r="M530" s="46"/>
      <c r="N530" s="136"/>
      <c r="O530" s="136"/>
      <c r="P530" s="136"/>
      <c r="Q530" s="136"/>
      <c r="R530" s="136"/>
      <c r="S530" s="136"/>
      <c r="T530" s="136"/>
      <c r="U530" s="136"/>
      <c r="V530" s="136"/>
      <c r="W530" s="136"/>
      <c r="X530" s="136"/>
      <c r="Y530" s="136"/>
      <c r="Z530" s="136"/>
      <c r="AA530" s="231"/>
    </row>
    <row r="531" spans="1:27" x14ac:dyDescent="0.2">
      <c r="A531" s="39"/>
      <c r="B531" s="39"/>
      <c r="C531" s="43"/>
      <c r="D531" s="43"/>
      <c r="E531" s="43"/>
      <c r="F531" s="132"/>
      <c r="G531" s="41" t="e">
        <f>VLOOKUP(F531,Pcode!A:B,2,FALSE)</f>
        <v>#N/A</v>
      </c>
      <c r="H531" s="41"/>
      <c r="I531" s="41" t="e">
        <f>VLOOKUP(H531,Pcode!C:D,2,FALSE)</f>
        <v>#N/A</v>
      </c>
      <c r="J531" s="41"/>
      <c r="K531" s="160"/>
      <c r="L531" s="160"/>
      <c r="M531" s="46"/>
      <c r="N531" s="136"/>
      <c r="O531" s="136"/>
      <c r="P531" s="136"/>
      <c r="Q531" s="136"/>
      <c r="R531" s="136"/>
      <c r="S531" s="136"/>
      <c r="T531" s="136"/>
      <c r="U531" s="136"/>
      <c r="V531" s="136"/>
      <c r="W531" s="136"/>
      <c r="X531" s="136"/>
      <c r="Y531" s="136"/>
      <c r="Z531" s="136"/>
      <c r="AA531" s="231"/>
    </row>
    <row r="532" spans="1:27" x14ac:dyDescent="0.2">
      <c r="A532" s="39"/>
      <c r="B532" s="39"/>
      <c r="C532" s="43"/>
      <c r="D532" s="43"/>
      <c r="E532" s="43"/>
      <c r="F532" s="132"/>
      <c r="G532" s="41" t="e">
        <f>VLOOKUP(F532,Pcode!A:B,2,FALSE)</f>
        <v>#N/A</v>
      </c>
      <c r="H532" s="41"/>
      <c r="I532" s="41" t="e">
        <f>VLOOKUP(H532,Pcode!C:D,2,FALSE)</f>
        <v>#N/A</v>
      </c>
      <c r="J532" s="41"/>
      <c r="K532" s="160"/>
      <c r="L532" s="160"/>
      <c r="M532" s="46"/>
      <c r="N532" s="136"/>
      <c r="O532" s="136"/>
      <c r="P532" s="136"/>
      <c r="Q532" s="136"/>
      <c r="R532" s="136"/>
      <c r="S532" s="136"/>
      <c r="T532" s="136"/>
      <c r="U532" s="136"/>
      <c r="V532" s="136"/>
      <c r="W532" s="136"/>
      <c r="X532" s="136"/>
      <c r="Y532" s="136"/>
      <c r="Z532" s="136"/>
      <c r="AA532" s="231"/>
    </row>
    <row r="533" spans="1:27" x14ac:dyDescent="0.2">
      <c r="A533" s="39"/>
      <c r="B533" s="39"/>
      <c r="C533" s="43"/>
      <c r="D533" s="43"/>
      <c r="E533" s="43"/>
      <c r="F533" s="132"/>
      <c r="G533" s="41" t="e">
        <f>VLOOKUP(F533,Pcode!A:B,2,FALSE)</f>
        <v>#N/A</v>
      </c>
      <c r="H533" s="41"/>
      <c r="I533" s="41" t="e">
        <f>VLOOKUP(H533,Pcode!C:D,2,FALSE)</f>
        <v>#N/A</v>
      </c>
      <c r="J533" s="41"/>
      <c r="K533" s="160"/>
      <c r="L533" s="160"/>
      <c r="M533" s="46"/>
      <c r="N533" s="136"/>
      <c r="O533" s="136"/>
      <c r="P533" s="136"/>
      <c r="Q533" s="136"/>
      <c r="R533" s="136"/>
      <c r="S533" s="136"/>
      <c r="T533" s="136"/>
      <c r="U533" s="136"/>
      <c r="V533" s="136"/>
      <c r="W533" s="136"/>
      <c r="X533" s="136"/>
      <c r="Y533" s="136"/>
      <c r="Z533" s="136"/>
      <c r="AA533" s="231"/>
    </row>
    <row r="534" spans="1:27" x14ac:dyDescent="0.2">
      <c r="A534" s="39"/>
      <c r="B534" s="39"/>
      <c r="C534" s="43"/>
      <c r="D534" s="43"/>
      <c r="E534" s="43"/>
      <c r="F534" s="132"/>
      <c r="G534" s="41" t="e">
        <f>VLOOKUP(F534,Pcode!A:B,2,FALSE)</f>
        <v>#N/A</v>
      </c>
      <c r="H534" s="41"/>
      <c r="I534" s="41" t="e">
        <f>VLOOKUP(H534,Pcode!C:D,2,FALSE)</f>
        <v>#N/A</v>
      </c>
      <c r="J534" s="41"/>
      <c r="K534" s="160"/>
      <c r="L534" s="160"/>
      <c r="M534" s="46"/>
      <c r="N534" s="136"/>
      <c r="O534" s="136"/>
      <c r="P534" s="136"/>
      <c r="Q534" s="136"/>
      <c r="R534" s="136"/>
      <c r="S534" s="136"/>
      <c r="T534" s="136"/>
      <c r="U534" s="136"/>
      <c r="V534" s="136"/>
      <c r="W534" s="136"/>
      <c r="X534" s="136"/>
      <c r="Y534" s="136"/>
      <c r="Z534" s="136"/>
      <c r="AA534" s="231"/>
    </row>
    <row r="535" spans="1:27" x14ac:dyDescent="0.2">
      <c r="A535" s="39"/>
      <c r="B535" s="39"/>
      <c r="C535" s="43"/>
      <c r="D535" s="43"/>
      <c r="E535" s="43"/>
      <c r="F535" s="132"/>
      <c r="G535" s="41" t="e">
        <f>VLOOKUP(F535,Pcode!A:B,2,FALSE)</f>
        <v>#N/A</v>
      </c>
      <c r="H535" s="41"/>
      <c r="I535" s="41" t="e">
        <f>VLOOKUP(H535,Pcode!C:D,2,FALSE)</f>
        <v>#N/A</v>
      </c>
      <c r="J535" s="41"/>
      <c r="K535" s="160"/>
      <c r="L535" s="160"/>
      <c r="M535" s="46"/>
      <c r="N535" s="136"/>
      <c r="O535" s="136"/>
      <c r="P535" s="136"/>
      <c r="Q535" s="136"/>
      <c r="R535" s="136"/>
      <c r="S535" s="136"/>
      <c r="T535" s="136"/>
      <c r="U535" s="136"/>
      <c r="V535" s="136"/>
      <c r="W535" s="136"/>
      <c r="X535" s="136"/>
      <c r="Y535" s="136"/>
      <c r="Z535" s="136"/>
      <c r="AA535" s="231"/>
    </row>
    <row r="536" spans="1:27" x14ac:dyDescent="0.2">
      <c r="A536" s="39"/>
      <c r="B536" s="39"/>
      <c r="C536" s="43"/>
      <c r="D536" s="43"/>
      <c r="E536" s="43"/>
      <c r="F536" s="132"/>
      <c r="G536" s="41" t="e">
        <f>VLOOKUP(F536,Pcode!A:B,2,FALSE)</f>
        <v>#N/A</v>
      </c>
      <c r="H536" s="41"/>
      <c r="I536" s="41" t="e">
        <f>VLOOKUP(H536,Pcode!C:D,2,FALSE)</f>
        <v>#N/A</v>
      </c>
      <c r="J536" s="41"/>
      <c r="K536" s="160"/>
      <c r="L536" s="160"/>
      <c r="M536" s="46"/>
      <c r="N536" s="136"/>
      <c r="O536" s="136"/>
      <c r="P536" s="136"/>
      <c r="Q536" s="136"/>
      <c r="R536" s="136"/>
      <c r="S536" s="136"/>
      <c r="T536" s="136"/>
      <c r="U536" s="136"/>
      <c r="V536" s="136"/>
      <c r="W536" s="136"/>
      <c r="X536" s="136"/>
      <c r="Y536" s="136"/>
      <c r="Z536" s="136"/>
      <c r="AA536" s="231"/>
    </row>
    <row r="537" spans="1:27" x14ac:dyDescent="0.2">
      <c r="A537" s="39"/>
      <c r="B537" s="39"/>
      <c r="C537" s="43"/>
      <c r="D537" s="43"/>
      <c r="E537" s="43"/>
      <c r="F537" s="132"/>
      <c r="G537" s="41" t="e">
        <f>VLOOKUP(F537,Pcode!A:B,2,FALSE)</f>
        <v>#N/A</v>
      </c>
      <c r="H537" s="41"/>
      <c r="I537" s="41" t="e">
        <f>VLOOKUP(H537,Pcode!C:D,2,FALSE)</f>
        <v>#N/A</v>
      </c>
      <c r="J537" s="41"/>
      <c r="K537" s="160"/>
      <c r="L537" s="160"/>
      <c r="M537" s="46"/>
      <c r="N537" s="136"/>
      <c r="O537" s="136"/>
      <c r="P537" s="136"/>
      <c r="Q537" s="136"/>
      <c r="R537" s="136"/>
      <c r="S537" s="136"/>
      <c r="T537" s="136"/>
      <c r="U537" s="136"/>
      <c r="V537" s="136"/>
      <c r="W537" s="136"/>
      <c r="X537" s="136"/>
      <c r="Y537" s="136"/>
      <c r="Z537" s="136"/>
      <c r="AA537" s="231"/>
    </row>
    <row r="538" spans="1:27" x14ac:dyDescent="0.2">
      <c r="A538" s="39"/>
      <c r="B538" s="39"/>
      <c r="C538" s="43"/>
      <c r="D538" s="43"/>
      <c r="E538" s="43"/>
      <c r="F538" s="132"/>
      <c r="G538" s="41" t="e">
        <f>VLOOKUP(F538,Pcode!A:B,2,FALSE)</f>
        <v>#N/A</v>
      </c>
      <c r="H538" s="41"/>
      <c r="I538" s="41" t="e">
        <f>VLOOKUP(H538,Pcode!C:D,2,FALSE)</f>
        <v>#N/A</v>
      </c>
      <c r="J538" s="41"/>
      <c r="K538" s="160"/>
      <c r="L538" s="160"/>
      <c r="M538" s="46"/>
      <c r="N538" s="136"/>
      <c r="O538" s="136"/>
      <c r="P538" s="136"/>
      <c r="Q538" s="136"/>
      <c r="R538" s="136"/>
      <c r="S538" s="136"/>
      <c r="T538" s="136"/>
      <c r="U538" s="136"/>
      <c r="V538" s="136"/>
      <c r="W538" s="136"/>
      <c r="X538" s="136"/>
      <c r="Y538" s="136"/>
      <c r="Z538" s="136"/>
      <c r="AA538" s="231"/>
    </row>
    <row r="539" spans="1:27" x14ac:dyDescent="0.2">
      <c r="A539" s="39"/>
      <c r="B539" s="39"/>
      <c r="C539" s="43"/>
      <c r="D539" s="43"/>
      <c r="E539" s="43"/>
      <c r="F539" s="132"/>
      <c r="G539" s="41" t="e">
        <f>VLOOKUP(F539,Pcode!A:B,2,FALSE)</f>
        <v>#N/A</v>
      </c>
      <c r="H539" s="41"/>
      <c r="I539" s="41" t="e">
        <f>VLOOKUP(H539,Pcode!C:D,2,FALSE)</f>
        <v>#N/A</v>
      </c>
      <c r="J539" s="41"/>
      <c r="K539" s="160"/>
      <c r="L539" s="160"/>
      <c r="M539" s="46"/>
      <c r="N539" s="136"/>
      <c r="O539" s="136"/>
      <c r="P539" s="136"/>
      <c r="Q539" s="136"/>
      <c r="R539" s="136"/>
      <c r="S539" s="136"/>
      <c r="T539" s="136"/>
      <c r="U539" s="136"/>
      <c r="V539" s="136"/>
      <c r="W539" s="136"/>
      <c r="X539" s="136"/>
      <c r="Y539" s="136"/>
      <c r="Z539" s="136"/>
      <c r="AA539" s="231"/>
    </row>
    <row r="540" spans="1:27" x14ac:dyDescent="0.2">
      <c r="A540" s="39"/>
      <c r="B540" s="39"/>
      <c r="C540" s="43"/>
      <c r="D540" s="43"/>
      <c r="E540" s="43"/>
      <c r="F540" s="132"/>
      <c r="G540" s="41" t="e">
        <f>VLOOKUP(F540,Pcode!A:B,2,FALSE)</f>
        <v>#N/A</v>
      </c>
      <c r="H540" s="41"/>
      <c r="I540" s="41" t="e">
        <f>VLOOKUP(H540,Pcode!C:D,2,FALSE)</f>
        <v>#N/A</v>
      </c>
      <c r="J540" s="41"/>
      <c r="K540" s="160"/>
      <c r="L540" s="160"/>
      <c r="M540" s="46"/>
      <c r="N540" s="136"/>
      <c r="O540" s="136"/>
      <c r="P540" s="136"/>
      <c r="Q540" s="136"/>
      <c r="R540" s="136"/>
      <c r="S540" s="136"/>
      <c r="T540" s="136"/>
      <c r="U540" s="136"/>
      <c r="V540" s="136"/>
      <c r="W540" s="136"/>
      <c r="X540" s="136"/>
      <c r="Y540" s="136"/>
      <c r="Z540" s="136"/>
      <c r="AA540" s="231"/>
    </row>
    <row r="541" spans="1:27" x14ac:dyDescent="0.2">
      <c r="A541" s="39"/>
      <c r="B541" s="39"/>
      <c r="C541" s="43"/>
      <c r="D541" s="43"/>
      <c r="E541" s="43"/>
      <c r="F541" s="132"/>
      <c r="G541" s="41" t="e">
        <f>VLOOKUP(F541,Pcode!A:B,2,FALSE)</f>
        <v>#N/A</v>
      </c>
      <c r="H541" s="41"/>
      <c r="I541" s="41" t="e">
        <f>VLOOKUP(H541,Pcode!C:D,2,FALSE)</f>
        <v>#N/A</v>
      </c>
      <c r="J541" s="41"/>
      <c r="K541" s="160"/>
      <c r="L541" s="160"/>
      <c r="M541" s="46"/>
      <c r="N541" s="136"/>
      <c r="O541" s="136"/>
      <c r="P541" s="136"/>
      <c r="Q541" s="136"/>
      <c r="R541" s="136"/>
      <c r="S541" s="136"/>
      <c r="T541" s="136"/>
      <c r="U541" s="136"/>
      <c r="V541" s="136"/>
      <c r="W541" s="136"/>
      <c r="X541" s="136"/>
      <c r="Y541" s="136"/>
      <c r="Z541" s="136"/>
      <c r="AA541" s="231"/>
    </row>
    <row r="542" spans="1:27" x14ac:dyDescent="0.2">
      <c r="A542" s="39"/>
      <c r="B542" s="39"/>
      <c r="C542" s="43"/>
      <c r="D542" s="43"/>
      <c r="E542" s="43"/>
      <c r="F542" s="132"/>
      <c r="G542" s="41" t="e">
        <f>VLOOKUP(F542,Pcode!A:B,2,FALSE)</f>
        <v>#N/A</v>
      </c>
      <c r="H542" s="41"/>
      <c r="I542" s="41" t="e">
        <f>VLOOKUP(H542,Pcode!C:D,2,FALSE)</f>
        <v>#N/A</v>
      </c>
      <c r="J542" s="41"/>
      <c r="K542" s="160"/>
      <c r="L542" s="160"/>
      <c r="M542" s="46"/>
      <c r="N542" s="136"/>
      <c r="O542" s="136"/>
      <c r="P542" s="136"/>
      <c r="Q542" s="136"/>
      <c r="R542" s="136"/>
      <c r="S542" s="136"/>
      <c r="T542" s="136"/>
      <c r="U542" s="136"/>
      <c r="V542" s="136"/>
      <c r="W542" s="136"/>
      <c r="X542" s="136"/>
      <c r="Y542" s="136"/>
      <c r="Z542" s="136"/>
      <c r="AA542" s="231"/>
    </row>
    <row r="543" spans="1:27" x14ac:dyDescent="0.2">
      <c r="A543" s="39"/>
      <c r="B543" s="39"/>
      <c r="C543" s="43"/>
      <c r="D543" s="43"/>
      <c r="E543" s="43"/>
      <c r="F543" s="132"/>
      <c r="G543" s="41" t="e">
        <f>VLOOKUP(F543,Pcode!A:B,2,FALSE)</f>
        <v>#N/A</v>
      </c>
      <c r="H543" s="41"/>
      <c r="I543" s="41" t="e">
        <f>VLOOKUP(H543,Pcode!C:D,2,FALSE)</f>
        <v>#N/A</v>
      </c>
      <c r="J543" s="41"/>
      <c r="K543" s="160"/>
      <c r="L543" s="160"/>
      <c r="M543" s="46"/>
      <c r="N543" s="136"/>
      <c r="O543" s="136"/>
      <c r="P543" s="136"/>
      <c r="Q543" s="136"/>
      <c r="R543" s="136"/>
      <c r="S543" s="136"/>
      <c r="T543" s="136"/>
      <c r="U543" s="136"/>
      <c r="V543" s="136"/>
      <c r="W543" s="136"/>
      <c r="X543" s="136"/>
      <c r="Y543" s="136"/>
      <c r="Z543" s="136"/>
      <c r="AA543" s="231"/>
    </row>
    <row r="544" spans="1:27" x14ac:dyDescent="0.2">
      <c r="A544" s="39"/>
      <c r="B544" s="39"/>
      <c r="C544" s="43"/>
      <c r="D544" s="43"/>
      <c r="E544" s="43"/>
      <c r="F544" s="132"/>
      <c r="G544" s="41" t="e">
        <f>VLOOKUP(F544,Pcode!A:B,2,FALSE)</f>
        <v>#N/A</v>
      </c>
      <c r="H544" s="41"/>
      <c r="I544" s="41" t="e">
        <f>VLOOKUP(H544,Pcode!C:D,2,FALSE)</f>
        <v>#N/A</v>
      </c>
      <c r="J544" s="41"/>
      <c r="K544" s="160"/>
      <c r="L544" s="160"/>
      <c r="M544" s="46"/>
      <c r="N544" s="136"/>
      <c r="O544" s="136"/>
      <c r="P544" s="136"/>
      <c r="Q544" s="136"/>
      <c r="R544" s="136"/>
      <c r="S544" s="136"/>
      <c r="T544" s="136"/>
      <c r="U544" s="136"/>
      <c r="V544" s="136"/>
      <c r="W544" s="136"/>
      <c r="X544" s="136"/>
      <c r="Y544" s="136"/>
      <c r="Z544" s="136"/>
      <c r="AA544" s="231"/>
    </row>
    <row r="545" spans="1:27" x14ac:dyDescent="0.2">
      <c r="A545" s="39"/>
      <c r="B545" s="39"/>
      <c r="C545" s="43"/>
      <c r="D545" s="43"/>
      <c r="E545" s="43"/>
      <c r="F545" s="132"/>
      <c r="G545" s="41" t="e">
        <f>VLOOKUP(F545,Pcode!A:B,2,FALSE)</f>
        <v>#N/A</v>
      </c>
      <c r="H545" s="41"/>
      <c r="I545" s="41" t="e">
        <f>VLOOKUP(H545,Pcode!C:D,2,FALSE)</f>
        <v>#N/A</v>
      </c>
      <c r="J545" s="41"/>
      <c r="K545" s="160"/>
      <c r="L545" s="160"/>
      <c r="M545" s="46"/>
      <c r="N545" s="136"/>
      <c r="O545" s="136"/>
      <c r="P545" s="136"/>
      <c r="Q545" s="136"/>
      <c r="R545" s="136"/>
      <c r="S545" s="136"/>
      <c r="T545" s="136"/>
      <c r="U545" s="136"/>
      <c r="V545" s="136"/>
      <c r="W545" s="136"/>
      <c r="X545" s="136"/>
      <c r="Y545" s="136"/>
      <c r="Z545" s="136"/>
      <c r="AA545" s="231"/>
    </row>
    <row r="546" spans="1:27" x14ac:dyDescent="0.2">
      <c r="A546" s="39"/>
      <c r="B546" s="39"/>
      <c r="C546" s="43"/>
      <c r="D546" s="43"/>
      <c r="E546" s="43"/>
      <c r="F546" s="132"/>
      <c r="G546" s="41" t="e">
        <f>VLOOKUP(F546,Pcode!A:B,2,FALSE)</f>
        <v>#N/A</v>
      </c>
      <c r="H546" s="41"/>
      <c r="I546" s="41" t="e">
        <f>VLOOKUP(H546,Pcode!C:D,2,FALSE)</f>
        <v>#N/A</v>
      </c>
      <c r="J546" s="41"/>
      <c r="K546" s="160"/>
      <c r="L546" s="160"/>
      <c r="M546" s="46"/>
      <c r="N546" s="136"/>
      <c r="O546" s="136"/>
      <c r="P546" s="136"/>
      <c r="Q546" s="136"/>
      <c r="R546" s="136"/>
      <c r="S546" s="136"/>
      <c r="T546" s="136"/>
      <c r="U546" s="136"/>
      <c r="V546" s="136"/>
      <c r="W546" s="136"/>
      <c r="X546" s="136"/>
      <c r="Y546" s="136"/>
      <c r="Z546" s="136"/>
      <c r="AA546" s="231"/>
    </row>
    <row r="547" spans="1:27" x14ac:dyDescent="0.2">
      <c r="A547" s="39"/>
      <c r="B547" s="39"/>
      <c r="C547" s="43"/>
      <c r="D547" s="43"/>
      <c r="E547" s="43"/>
      <c r="F547" s="132"/>
      <c r="G547" s="41" t="e">
        <f>VLOOKUP(F547,Pcode!A:B,2,FALSE)</f>
        <v>#N/A</v>
      </c>
      <c r="H547" s="41"/>
      <c r="I547" s="41" t="e">
        <f>VLOOKUP(H547,Pcode!C:D,2,FALSE)</f>
        <v>#N/A</v>
      </c>
      <c r="J547" s="41"/>
      <c r="K547" s="160"/>
      <c r="L547" s="160"/>
      <c r="M547" s="46"/>
      <c r="N547" s="136"/>
      <c r="O547" s="136"/>
      <c r="P547" s="136"/>
      <c r="Q547" s="136"/>
      <c r="R547" s="136"/>
      <c r="S547" s="136"/>
      <c r="T547" s="136"/>
      <c r="U547" s="136"/>
      <c r="V547" s="136"/>
      <c r="W547" s="136"/>
      <c r="X547" s="136"/>
      <c r="Y547" s="136"/>
      <c r="Z547" s="136"/>
      <c r="AA547" s="231"/>
    </row>
    <row r="548" spans="1:27" x14ac:dyDescent="0.2">
      <c r="A548" s="39"/>
      <c r="B548" s="39"/>
      <c r="C548" s="43"/>
      <c r="D548" s="43"/>
      <c r="E548" s="43"/>
      <c r="F548" s="132"/>
      <c r="G548" s="41" t="e">
        <f>VLOOKUP(F548,Pcode!A:B,2,FALSE)</f>
        <v>#N/A</v>
      </c>
      <c r="H548" s="41"/>
      <c r="I548" s="41" t="e">
        <f>VLOOKUP(H548,Pcode!C:D,2,FALSE)</f>
        <v>#N/A</v>
      </c>
      <c r="J548" s="41"/>
      <c r="K548" s="160"/>
      <c r="L548" s="160"/>
      <c r="M548" s="46"/>
      <c r="N548" s="136"/>
      <c r="O548" s="136"/>
      <c r="P548" s="136"/>
      <c r="Q548" s="136"/>
      <c r="R548" s="136"/>
      <c r="S548" s="136"/>
      <c r="T548" s="136"/>
      <c r="U548" s="136"/>
      <c r="V548" s="136"/>
      <c r="W548" s="136"/>
      <c r="X548" s="136"/>
      <c r="Y548" s="136"/>
      <c r="Z548" s="136"/>
      <c r="AA548" s="231"/>
    </row>
    <row r="549" spans="1:27" x14ac:dyDescent="0.2">
      <c r="A549" s="39"/>
      <c r="B549" s="39"/>
      <c r="C549" s="43"/>
      <c r="D549" s="43"/>
      <c r="E549" s="43"/>
      <c r="F549" s="132"/>
      <c r="G549" s="41" t="e">
        <f>VLOOKUP(F549,Pcode!A:B,2,FALSE)</f>
        <v>#N/A</v>
      </c>
      <c r="H549" s="41"/>
      <c r="I549" s="41" t="e">
        <f>VLOOKUP(H549,Pcode!C:D,2,FALSE)</f>
        <v>#N/A</v>
      </c>
      <c r="J549" s="41"/>
      <c r="K549" s="160"/>
      <c r="L549" s="160"/>
      <c r="M549" s="46"/>
      <c r="N549" s="136"/>
      <c r="O549" s="136"/>
      <c r="P549" s="136"/>
      <c r="Q549" s="136"/>
      <c r="R549" s="136"/>
      <c r="S549" s="136"/>
      <c r="T549" s="136"/>
      <c r="U549" s="136"/>
      <c r="V549" s="136"/>
      <c r="W549" s="136"/>
      <c r="X549" s="136"/>
      <c r="Y549" s="136"/>
      <c r="Z549" s="136"/>
      <c r="AA549" s="231"/>
    </row>
    <row r="550" spans="1:27" x14ac:dyDescent="0.2">
      <c r="A550" s="39"/>
      <c r="B550" s="39"/>
      <c r="C550" s="43"/>
      <c r="D550" s="43"/>
      <c r="E550" s="43"/>
      <c r="F550" s="132"/>
      <c r="G550" s="41" t="e">
        <f>VLOOKUP(F550,Pcode!A:B,2,FALSE)</f>
        <v>#N/A</v>
      </c>
      <c r="H550" s="41"/>
      <c r="I550" s="41" t="e">
        <f>VLOOKUP(H550,Pcode!C:D,2,FALSE)</f>
        <v>#N/A</v>
      </c>
      <c r="J550" s="41"/>
      <c r="K550" s="160"/>
      <c r="L550" s="160"/>
      <c r="M550" s="46"/>
      <c r="N550" s="136"/>
      <c r="O550" s="136"/>
      <c r="P550" s="136"/>
      <c r="Q550" s="136"/>
      <c r="R550" s="136"/>
      <c r="S550" s="136"/>
      <c r="T550" s="136"/>
      <c r="U550" s="136"/>
      <c r="V550" s="136"/>
      <c r="W550" s="136"/>
      <c r="X550" s="136"/>
      <c r="Y550" s="136"/>
      <c r="Z550" s="136"/>
      <c r="AA550" s="231"/>
    </row>
    <row r="551" spans="1:27" x14ac:dyDescent="0.2">
      <c r="A551" s="39"/>
      <c r="B551" s="39"/>
      <c r="C551" s="43"/>
      <c r="D551" s="43"/>
      <c r="E551" s="43"/>
      <c r="F551" s="132"/>
      <c r="G551" s="41" t="e">
        <f>VLOOKUP(F551,Pcode!A:B,2,FALSE)</f>
        <v>#N/A</v>
      </c>
      <c r="H551" s="41"/>
      <c r="I551" s="41" t="e">
        <f>VLOOKUP(H551,Pcode!C:D,2,FALSE)</f>
        <v>#N/A</v>
      </c>
      <c r="J551" s="41"/>
      <c r="K551" s="160"/>
      <c r="L551" s="160"/>
      <c r="M551" s="46"/>
      <c r="N551" s="136"/>
      <c r="O551" s="136"/>
      <c r="P551" s="136"/>
      <c r="Q551" s="136"/>
      <c r="R551" s="136"/>
      <c r="S551" s="136"/>
      <c r="T551" s="136"/>
      <c r="U551" s="136"/>
      <c r="V551" s="136"/>
      <c r="W551" s="136"/>
      <c r="X551" s="136"/>
      <c r="Y551" s="136"/>
      <c r="Z551" s="136"/>
      <c r="AA551" s="231"/>
    </row>
    <row r="552" spans="1:27" x14ac:dyDescent="0.2">
      <c r="A552" s="39"/>
      <c r="B552" s="39"/>
      <c r="C552" s="43"/>
      <c r="D552" s="43"/>
      <c r="E552" s="43"/>
      <c r="F552" s="132"/>
      <c r="G552" s="41" t="e">
        <f>VLOOKUP(F552,Pcode!A:B,2,FALSE)</f>
        <v>#N/A</v>
      </c>
      <c r="H552" s="41"/>
      <c r="I552" s="41" t="e">
        <f>VLOOKUP(H552,Pcode!C:D,2,FALSE)</f>
        <v>#N/A</v>
      </c>
      <c r="J552" s="41"/>
      <c r="K552" s="160"/>
      <c r="L552" s="160"/>
      <c r="M552" s="46"/>
      <c r="N552" s="136"/>
      <c r="O552" s="136"/>
      <c r="P552" s="136"/>
      <c r="Q552" s="136"/>
      <c r="R552" s="136"/>
      <c r="S552" s="136"/>
      <c r="T552" s="136"/>
      <c r="U552" s="136"/>
      <c r="V552" s="136"/>
      <c r="W552" s="136"/>
      <c r="X552" s="136"/>
      <c r="Y552" s="136"/>
      <c r="Z552" s="136"/>
      <c r="AA552" s="231"/>
    </row>
    <row r="553" spans="1:27" x14ac:dyDescent="0.2">
      <c r="A553" s="39"/>
      <c r="B553" s="39"/>
      <c r="C553" s="43"/>
      <c r="D553" s="43"/>
      <c r="E553" s="43"/>
      <c r="F553" s="132"/>
      <c r="G553" s="41" t="e">
        <f>VLOOKUP(F553,Pcode!A:B,2,FALSE)</f>
        <v>#N/A</v>
      </c>
      <c r="H553" s="41"/>
      <c r="I553" s="41" t="e">
        <f>VLOOKUP(H553,Pcode!C:D,2,FALSE)</f>
        <v>#N/A</v>
      </c>
      <c r="J553" s="41"/>
      <c r="K553" s="160"/>
      <c r="L553" s="160"/>
      <c r="M553" s="46"/>
      <c r="N553" s="136"/>
      <c r="O553" s="136"/>
      <c r="P553" s="136"/>
      <c r="Q553" s="136"/>
      <c r="R553" s="136"/>
      <c r="S553" s="136"/>
      <c r="T553" s="136"/>
      <c r="U553" s="136"/>
      <c r="V553" s="136"/>
      <c r="W553" s="136"/>
      <c r="X553" s="136"/>
      <c r="Y553" s="136"/>
      <c r="Z553" s="136"/>
      <c r="AA553" s="231"/>
    </row>
    <row r="554" spans="1:27" x14ac:dyDescent="0.2">
      <c r="A554" s="39"/>
      <c r="B554" s="39"/>
      <c r="C554" s="43"/>
      <c r="D554" s="43"/>
      <c r="E554" s="43"/>
      <c r="F554" s="132"/>
      <c r="G554" s="41" t="e">
        <f>VLOOKUP(F554,Pcode!A:B,2,FALSE)</f>
        <v>#N/A</v>
      </c>
      <c r="H554" s="41"/>
      <c r="I554" s="41" t="e">
        <f>VLOOKUP(H554,Pcode!C:D,2,FALSE)</f>
        <v>#N/A</v>
      </c>
      <c r="J554" s="41"/>
      <c r="K554" s="160"/>
      <c r="L554" s="160"/>
      <c r="M554" s="46"/>
      <c r="N554" s="136"/>
      <c r="O554" s="136"/>
      <c r="P554" s="136"/>
      <c r="Q554" s="136"/>
      <c r="R554" s="136"/>
      <c r="S554" s="136"/>
      <c r="T554" s="136"/>
      <c r="U554" s="136"/>
      <c r="V554" s="136"/>
      <c r="W554" s="136"/>
      <c r="X554" s="136"/>
      <c r="Y554" s="136"/>
      <c r="Z554" s="136"/>
      <c r="AA554" s="231"/>
    </row>
    <row r="555" spans="1:27" x14ac:dyDescent="0.2">
      <c r="A555" s="39"/>
      <c r="B555" s="39"/>
      <c r="C555" s="43"/>
      <c r="D555" s="43"/>
      <c r="E555" s="43"/>
      <c r="F555" s="132"/>
      <c r="G555" s="41" t="e">
        <f>VLOOKUP(F555,Pcode!A:B,2,FALSE)</f>
        <v>#N/A</v>
      </c>
      <c r="H555" s="41"/>
      <c r="I555" s="41" t="e">
        <f>VLOOKUP(H555,Pcode!C:D,2,FALSE)</f>
        <v>#N/A</v>
      </c>
      <c r="J555" s="41"/>
      <c r="K555" s="160"/>
      <c r="L555" s="160"/>
      <c r="M555" s="46"/>
      <c r="N555" s="136"/>
      <c r="O555" s="136"/>
      <c r="P555" s="136"/>
      <c r="Q555" s="136"/>
      <c r="R555" s="136"/>
      <c r="S555" s="136"/>
      <c r="T555" s="136"/>
      <c r="U555" s="136"/>
      <c r="V555" s="136"/>
      <c r="W555" s="136"/>
      <c r="X555" s="136"/>
      <c r="Y555" s="136"/>
      <c r="Z555" s="136"/>
      <c r="AA555" s="231"/>
    </row>
    <row r="556" spans="1:27" x14ac:dyDescent="0.2">
      <c r="A556" s="39"/>
      <c r="B556" s="39"/>
      <c r="C556" s="43"/>
      <c r="D556" s="43"/>
      <c r="E556" s="43"/>
      <c r="F556" s="132"/>
      <c r="G556" s="41" t="e">
        <f>VLOOKUP(F556,Pcode!A:B,2,FALSE)</f>
        <v>#N/A</v>
      </c>
      <c r="H556" s="41"/>
      <c r="I556" s="41" t="e">
        <f>VLOOKUP(H556,Pcode!C:D,2,FALSE)</f>
        <v>#N/A</v>
      </c>
      <c r="J556" s="41"/>
      <c r="K556" s="160"/>
      <c r="L556" s="160"/>
      <c r="M556" s="46"/>
      <c r="N556" s="136"/>
      <c r="O556" s="136"/>
      <c r="P556" s="136"/>
      <c r="Q556" s="136"/>
      <c r="R556" s="136"/>
      <c r="S556" s="136"/>
      <c r="T556" s="136"/>
      <c r="U556" s="136"/>
      <c r="V556" s="136"/>
      <c r="W556" s="136"/>
      <c r="X556" s="136"/>
      <c r="Y556" s="136"/>
      <c r="Z556" s="136"/>
      <c r="AA556" s="231"/>
    </row>
    <row r="557" spans="1:27" x14ac:dyDescent="0.2">
      <c r="A557" s="39"/>
      <c r="B557" s="39"/>
      <c r="C557" s="43"/>
      <c r="D557" s="43"/>
      <c r="E557" s="43"/>
      <c r="F557" s="132"/>
      <c r="G557" s="41" t="e">
        <f>VLOOKUP(F557,Pcode!A:B,2,FALSE)</f>
        <v>#N/A</v>
      </c>
      <c r="H557" s="41"/>
      <c r="I557" s="41" t="e">
        <f>VLOOKUP(H557,Pcode!C:D,2,FALSE)</f>
        <v>#N/A</v>
      </c>
      <c r="J557" s="41"/>
      <c r="K557" s="160"/>
      <c r="L557" s="160"/>
      <c r="M557" s="46"/>
      <c r="N557" s="136"/>
      <c r="O557" s="136"/>
      <c r="P557" s="136"/>
      <c r="Q557" s="136"/>
      <c r="R557" s="136"/>
      <c r="S557" s="136"/>
      <c r="T557" s="136"/>
      <c r="U557" s="136"/>
      <c r="V557" s="136"/>
      <c r="W557" s="136"/>
      <c r="X557" s="136"/>
      <c r="Y557" s="136"/>
      <c r="Z557" s="136"/>
      <c r="AA557" s="231"/>
    </row>
    <row r="558" spans="1:27" x14ac:dyDescent="0.2">
      <c r="A558" s="39"/>
      <c r="B558" s="39"/>
      <c r="C558" s="43"/>
      <c r="D558" s="43"/>
      <c r="E558" s="43"/>
      <c r="F558" s="132"/>
      <c r="G558" s="41" t="e">
        <f>VLOOKUP(F558,Pcode!A:B,2,FALSE)</f>
        <v>#N/A</v>
      </c>
      <c r="H558" s="41"/>
      <c r="I558" s="41" t="e">
        <f>VLOOKUP(H558,Pcode!C:D,2,FALSE)</f>
        <v>#N/A</v>
      </c>
      <c r="J558" s="41"/>
      <c r="K558" s="160"/>
      <c r="L558" s="160"/>
      <c r="M558" s="46"/>
      <c r="N558" s="136"/>
      <c r="O558" s="136"/>
      <c r="P558" s="136"/>
      <c r="Q558" s="136"/>
      <c r="R558" s="136"/>
      <c r="S558" s="136"/>
      <c r="T558" s="136"/>
      <c r="U558" s="136"/>
      <c r="V558" s="136"/>
      <c r="W558" s="136"/>
      <c r="X558" s="136"/>
      <c r="Y558" s="136"/>
      <c r="Z558" s="136"/>
      <c r="AA558" s="231"/>
    </row>
    <row r="559" spans="1:27" x14ac:dyDescent="0.2">
      <c r="A559" s="39"/>
      <c r="B559" s="39"/>
      <c r="C559" s="43"/>
      <c r="D559" s="43"/>
      <c r="E559" s="43"/>
      <c r="F559" s="132"/>
      <c r="G559" s="41" t="e">
        <f>VLOOKUP(F559,Pcode!A:B,2,FALSE)</f>
        <v>#N/A</v>
      </c>
      <c r="H559" s="41"/>
      <c r="I559" s="41" t="e">
        <f>VLOOKUP(H559,Pcode!C:D,2,FALSE)</f>
        <v>#N/A</v>
      </c>
      <c r="J559" s="41"/>
      <c r="K559" s="160"/>
      <c r="L559" s="160"/>
      <c r="M559" s="46"/>
      <c r="N559" s="136"/>
      <c r="O559" s="136"/>
      <c r="P559" s="136"/>
      <c r="Q559" s="136"/>
      <c r="R559" s="136"/>
      <c r="S559" s="136"/>
      <c r="T559" s="136"/>
      <c r="U559" s="136"/>
      <c r="V559" s="136"/>
      <c r="W559" s="136"/>
      <c r="X559" s="136"/>
      <c r="Y559" s="136"/>
      <c r="Z559" s="136"/>
      <c r="AA559" s="231"/>
    </row>
    <row r="560" spans="1:27" x14ac:dyDescent="0.2">
      <c r="A560" s="39"/>
      <c r="B560" s="39"/>
      <c r="C560" s="43"/>
      <c r="D560" s="43"/>
      <c r="E560" s="43"/>
      <c r="F560" s="132"/>
      <c r="G560" s="41" t="e">
        <f>VLOOKUP(F560,Pcode!A:B,2,FALSE)</f>
        <v>#N/A</v>
      </c>
      <c r="H560" s="41"/>
      <c r="I560" s="41" t="e">
        <f>VLOOKUP(H560,Pcode!C:D,2,FALSE)</f>
        <v>#N/A</v>
      </c>
      <c r="J560" s="41"/>
      <c r="K560" s="160"/>
      <c r="L560" s="160"/>
      <c r="M560" s="46"/>
      <c r="N560" s="136"/>
      <c r="O560" s="136"/>
      <c r="P560" s="136"/>
      <c r="Q560" s="136"/>
      <c r="R560" s="136"/>
      <c r="S560" s="136"/>
      <c r="T560" s="136"/>
      <c r="U560" s="136"/>
      <c r="V560" s="136"/>
      <c r="W560" s="136"/>
      <c r="X560" s="136"/>
      <c r="Y560" s="136"/>
      <c r="Z560" s="136"/>
      <c r="AA560" s="231"/>
    </row>
    <row r="561" spans="1:27" x14ac:dyDescent="0.2">
      <c r="A561" s="39"/>
      <c r="B561" s="39"/>
      <c r="C561" s="43"/>
      <c r="D561" s="43"/>
      <c r="E561" s="43"/>
      <c r="F561" s="132"/>
      <c r="G561" s="41" t="e">
        <f>VLOOKUP(F561,Pcode!A:B,2,FALSE)</f>
        <v>#N/A</v>
      </c>
      <c r="H561" s="41"/>
      <c r="I561" s="41" t="e">
        <f>VLOOKUP(H561,Pcode!C:D,2,FALSE)</f>
        <v>#N/A</v>
      </c>
      <c r="J561" s="41"/>
      <c r="K561" s="160"/>
      <c r="L561" s="160"/>
      <c r="M561" s="46"/>
      <c r="N561" s="136"/>
      <c r="O561" s="136"/>
      <c r="P561" s="136"/>
      <c r="Q561" s="136"/>
      <c r="R561" s="136"/>
      <c r="S561" s="136"/>
      <c r="T561" s="136"/>
      <c r="U561" s="136"/>
      <c r="V561" s="136"/>
      <c r="W561" s="136"/>
      <c r="X561" s="136"/>
      <c r="Y561" s="136"/>
      <c r="Z561" s="136"/>
      <c r="AA561" s="231"/>
    </row>
    <row r="562" spans="1:27" x14ac:dyDescent="0.2">
      <c r="A562" s="39"/>
      <c r="B562" s="39"/>
      <c r="C562" s="43"/>
      <c r="D562" s="43"/>
      <c r="E562" s="43"/>
      <c r="F562" s="132"/>
      <c r="G562" s="41" t="e">
        <f>VLOOKUP(F562,Pcode!A:B,2,FALSE)</f>
        <v>#N/A</v>
      </c>
      <c r="H562" s="41"/>
      <c r="I562" s="41" t="e">
        <f>VLOOKUP(H562,Pcode!C:D,2,FALSE)</f>
        <v>#N/A</v>
      </c>
      <c r="J562" s="41"/>
      <c r="K562" s="160"/>
      <c r="L562" s="160"/>
      <c r="M562" s="46"/>
      <c r="N562" s="136"/>
      <c r="O562" s="136"/>
      <c r="P562" s="136"/>
      <c r="Q562" s="136"/>
      <c r="R562" s="136"/>
      <c r="S562" s="136"/>
      <c r="T562" s="136"/>
      <c r="U562" s="136"/>
      <c r="V562" s="136"/>
      <c r="W562" s="136"/>
      <c r="X562" s="136"/>
      <c r="Y562" s="136"/>
      <c r="Z562" s="136"/>
      <c r="AA562" s="231"/>
    </row>
    <row r="563" spans="1:27" x14ac:dyDescent="0.2">
      <c r="A563" s="39"/>
      <c r="B563" s="39"/>
      <c r="C563" s="43"/>
      <c r="D563" s="43"/>
      <c r="E563" s="43"/>
      <c r="F563" s="132"/>
      <c r="G563" s="41" t="e">
        <f>VLOOKUP(F563,Pcode!A:B,2,FALSE)</f>
        <v>#N/A</v>
      </c>
      <c r="H563" s="41"/>
      <c r="I563" s="41" t="e">
        <f>VLOOKUP(H563,Pcode!C:D,2,FALSE)</f>
        <v>#N/A</v>
      </c>
      <c r="J563" s="41"/>
      <c r="K563" s="160"/>
      <c r="L563" s="160"/>
      <c r="M563" s="46"/>
      <c r="N563" s="136"/>
      <c r="O563" s="136"/>
      <c r="P563" s="136"/>
      <c r="Q563" s="136"/>
      <c r="R563" s="136"/>
      <c r="S563" s="136"/>
      <c r="T563" s="136"/>
      <c r="U563" s="136"/>
      <c r="V563" s="136"/>
      <c r="W563" s="136"/>
      <c r="X563" s="136"/>
      <c r="Y563" s="136"/>
      <c r="Z563" s="136"/>
      <c r="AA563" s="231"/>
    </row>
    <row r="564" spans="1:27" x14ac:dyDescent="0.2">
      <c r="A564" s="39"/>
      <c r="B564" s="39"/>
      <c r="C564" s="43"/>
      <c r="D564" s="43"/>
      <c r="E564" s="43"/>
      <c r="F564" s="132"/>
      <c r="G564" s="41" t="e">
        <f>VLOOKUP(F564,Pcode!A:B,2,FALSE)</f>
        <v>#N/A</v>
      </c>
      <c r="H564" s="41"/>
      <c r="I564" s="41" t="e">
        <f>VLOOKUP(H564,Pcode!C:D,2,FALSE)</f>
        <v>#N/A</v>
      </c>
      <c r="J564" s="41"/>
      <c r="K564" s="160"/>
      <c r="L564" s="160"/>
      <c r="M564" s="46"/>
      <c r="N564" s="136"/>
      <c r="O564" s="136"/>
      <c r="P564" s="136"/>
      <c r="Q564" s="136"/>
      <c r="R564" s="136"/>
      <c r="S564" s="136"/>
      <c r="T564" s="136"/>
      <c r="U564" s="136"/>
      <c r="V564" s="136"/>
      <c r="W564" s="136"/>
      <c r="X564" s="136"/>
      <c r="Y564" s="136"/>
      <c r="Z564" s="136"/>
      <c r="AA564" s="231"/>
    </row>
    <row r="565" spans="1:27" x14ac:dyDescent="0.2">
      <c r="A565" s="39"/>
      <c r="B565" s="39"/>
      <c r="C565" s="43"/>
      <c r="D565" s="43"/>
      <c r="E565" s="43"/>
      <c r="F565" s="132"/>
      <c r="G565" s="41" t="e">
        <f>VLOOKUP(F565,Pcode!A:B,2,FALSE)</f>
        <v>#N/A</v>
      </c>
      <c r="H565" s="41"/>
      <c r="I565" s="41" t="e">
        <f>VLOOKUP(H565,Pcode!C:D,2,FALSE)</f>
        <v>#N/A</v>
      </c>
      <c r="J565" s="41"/>
      <c r="K565" s="160"/>
      <c r="L565" s="160"/>
      <c r="M565" s="46"/>
      <c r="N565" s="136"/>
      <c r="O565" s="136"/>
      <c r="P565" s="136"/>
      <c r="Q565" s="136"/>
      <c r="R565" s="136"/>
      <c r="S565" s="136"/>
      <c r="T565" s="136"/>
      <c r="U565" s="136"/>
      <c r="V565" s="136"/>
      <c r="W565" s="136"/>
      <c r="X565" s="136"/>
      <c r="Y565" s="136"/>
      <c r="Z565" s="136"/>
      <c r="AA565" s="231"/>
    </row>
    <row r="566" spans="1:27" x14ac:dyDescent="0.2">
      <c r="A566" s="39"/>
      <c r="B566" s="39"/>
      <c r="C566" s="43"/>
      <c r="D566" s="43"/>
      <c r="E566" s="43"/>
      <c r="F566" s="132"/>
      <c r="G566" s="41" t="e">
        <f>VLOOKUP(F566,Pcode!A:B,2,FALSE)</f>
        <v>#N/A</v>
      </c>
      <c r="H566" s="41"/>
      <c r="I566" s="41" t="e">
        <f>VLOOKUP(H566,Pcode!C:D,2,FALSE)</f>
        <v>#N/A</v>
      </c>
      <c r="J566" s="41"/>
      <c r="K566" s="160"/>
      <c r="L566" s="160"/>
      <c r="M566" s="46"/>
      <c r="N566" s="136"/>
      <c r="O566" s="136"/>
      <c r="P566" s="136"/>
      <c r="Q566" s="136"/>
      <c r="R566" s="136"/>
      <c r="S566" s="136"/>
      <c r="T566" s="136"/>
      <c r="U566" s="136"/>
      <c r="V566" s="136"/>
      <c r="W566" s="136"/>
      <c r="X566" s="136"/>
      <c r="Y566" s="136"/>
      <c r="Z566" s="136"/>
      <c r="AA566" s="231"/>
    </row>
    <row r="567" spans="1:27" x14ac:dyDescent="0.2">
      <c r="A567" s="39"/>
      <c r="B567" s="39"/>
      <c r="C567" s="43"/>
      <c r="D567" s="43"/>
      <c r="E567" s="43"/>
      <c r="F567" s="132"/>
      <c r="G567" s="41" t="e">
        <f>VLOOKUP(F567,Pcode!A:B,2,FALSE)</f>
        <v>#N/A</v>
      </c>
      <c r="H567" s="41"/>
      <c r="I567" s="41" t="e">
        <f>VLOOKUP(H567,Pcode!C:D,2,FALSE)</f>
        <v>#N/A</v>
      </c>
      <c r="J567" s="41"/>
      <c r="K567" s="160"/>
      <c r="L567" s="160"/>
      <c r="M567" s="46"/>
      <c r="N567" s="136"/>
      <c r="O567" s="136"/>
      <c r="P567" s="136"/>
      <c r="Q567" s="136"/>
      <c r="R567" s="136"/>
      <c r="S567" s="136"/>
      <c r="T567" s="136"/>
      <c r="U567" s="136"/>
      <c r="V567" s="136"/>
      <c r="W567" s="136"/>
      <c r="X567" s="136"/>
      <c r="Y567" s="136"/>
      <c r="Z567" s="136"/>
      <c r="AA567" s="231"/>
    </row>
    <row r="568" spans="1:27" x14ac:dyDescent="0.2">
      <c r="A568" s="39"/>
      <c r="B568" s="39"/>
      <c r="C568" s="43"/>
      <c r="D568" s="43"/>
      <c r="E568" s="43"/>
      <c r="F568" s="132"/>
      <c r="G568" s="41" t="e">
        <f>VLOOKUP(F568,Pcode!A:B,2,FALSE)</f>
        <v>#N/A</v>
      </c>
      <c r="H568" s="41"/>
      <c r="I568" s="41" t="e">
        <f>VLOOKUP(H568,Pcode!C:D,2,FALSE)</f>
        <v>#N/A</v>
      </c>
      <c r="J568" s="41"/>
      <c r="K568" s="160"/>
      <c r="L568" s="160"/>
      <c r="M568" s="46"/>
      <c r="N568" s="136"/>
      <c r="O568" s="136"/>
      <c r="P568" s="136"/>
      <c r="Q568" s="136"/>
      <c r="R568" s="136"/>
      <c r="S568" s="136"/>
      <c r="T568" s="136"/>
      <c r="U568" s="136"/>
      <c r="V568" s="136"/>
      <c r="W568" s="136"/>
      <c r="X568" s="136"/>
      <c r="Y568" s="136"/>
      <c r="Z568" s="136"/>
      <c r="AA568" s="231"/>
    </row>
    <row r="569" spans="1:27" x14ac:dyDescent="0.2">
      <c r="A569" s="39"/>
      <c r="B569" s="39"/>
      <c r="C569" s="43"/>
      <c r="D569" s="43"/>
      <c r="E569" s="43"/>
      <c r="F569" s="132"/>
      <c r="G569" s="41" t="e">
        <f>VLOOKUP(F569,Pcode!A:B,2,FALSE)</f>
        <v>#N/A</v>
      </c>
      <c r="H569" s="41"/>
      <c r="I569" s="41" t="e">
        <f>VLOOKUP(H569,Pcode!C:D,2,FALSE)</f>
        <v>#N/A</v>
      </c>
      <c r="J569" s="41"/>
      <c r="K569" s="160"/>
      <c r="L569" s="160"/>
      <c r="M569" s="46"/>
      <c r="N569" s="136"/>
      <c r="O569" s="136"/>
      <c r="P569" s="136"/>
      <c r="Q569" s="136"/>
      <c r="R569" s="136"/>
      <c r="S569" s="136"/>
      <c r="T569" s="136"/>
      <c r="U569" s="136"/>
      <c r="V569" s="136"/>
      <c r="W569" s="136"/>
      <c r="X569" s="136"/>
      <c r="Y569" s="136"/>
      <c r="Z569" s="136"/>
      <c r="AA569" s="231"/>
    </row>
    <row r="570" spans="1:27" x14ac:dyDescent="0.2">
      <c r="A570" s="39"/>
      <c r="B570" s="39"/>
      <c r="C570" s="43"/>
      <c r="D570" s="43"/>
      <c r="E570" s="43"/>
      <c r="F570" s="132"/>
      <c r="G570" s="41" t="e">
        <f>VLOOKUP(F570,Pcode!A:B,2,FALSE)</f>
        <v>#N/A</v>
      </c>
      <c r="H570" s="41"/>
      <c r="I570" s="41" t="e">
        <f>VLOOKUP(H570,Pcode!C:D,2,FALSE)</f>
        <v>#N/A</v>
      </c>
      <c r="J570" s="41"/>
      <c r="K570" s="160"/>
      <c r="L570" s="160"/>
      <c r="M570" s="46"/>
      <c r="N570" s="136"/>
      <c r="O570" s="136"/>
      <c r="P570" s="136"/>
      <c r="Q570" s="136"/>
      <c r="R570" s="136"/>
      <c r="S570" s="136"/>
      <c r="T570" s="136"/>
      <c r="U570" s="136"/>
      <c r="V570" s="136"/>
      <c r="W570" s="136"/>
      <c r="X570" s="136"/>
      <c r="Y570" s="136"/>
      <c r="Z570" s="136"/>
      <c r="AA570" s="231"/>
    </row>
    <row r="571" spans="1:27" x14ac:dyDescent="0.2">
      <c r="A571" s="39"/>
      <c r="B571" s="39"/>
      <c r="C571" s="43"/>
      <c r="D571" s="43"/>
      <c r="E571" s="43"/>
      <c r="F571" s="132"/>
      <c r="G571" s="41" t="e">
        <f>VLOOKUP(F571,Pcode!A:B,2,FALSE)</f>
        <v>#N/A</v>
      </c>
      <c r="H571" s="41"/>
      <c r="I571" s="41" t="e">
        <f>VLOOKUP(H571,Pcode!C:D,2,FALSE)</f>
        <v>#N/A</v>
      </c>
      <c r="J571" s="41"/>
      <c r="K571" s="160"/>
      <c r="L571" s="160"/>
      <c r="M571" s="46"/>
      <c r="N571" s="136"/>
      <c r="O571" s="136"/>
      <c r="P571" s="136"/>
      <c r="Q571" s="136"/>
      <c r="R571" s="136"/>
      <c r="S571" s="136"/>
      <c r="T571" s="136"/>
      <c r="U571" s="136"/>
      <c r="V571" s="136"/>
      <c r="W571" s="136"/>
      <c r="X571" s="136"/>
      <c r="Y571" s="136"/>
      <c r="Z571" s="136"/>
      <c r="AA571" s="231"/>
    </row>
    <row r="572" spans="1:27" x14ac:dyDescent="0.2">
      <c r="A572" s="39"/>
      <c r="B572" s="39"/>
      <c r="C572" s="43"/>
      <c r="D572" s="43"/>
      <c r="E572" s="43"/>
      <c r="F572" s="132"/>
      <c r="G572" s="41" t="e">
        <f>VLOOKUP(F572,Pcode!A:B,2,FALSE)</f>
        <v>#N/A</v>
      </c>
      <c r="H572" s="41"/>
      <c r="I572" s="41" t="e">
        <f>VLOOKUP(H572,Pcode!C:D,2,FALSE)</f>
        <v>#N/A</v>
      </c>
      <c r="J572" s="41"/>
      <c r="K572" s="160"/>
      <c r="L572" s="160"/>
      <c r="M572" s="46"/>
      <c r="N572" s="136"/>
      <c r="O572" s="136"/>
      <c r="P572" s="136"/>
      <c r="Q572" s="136"/>
      <c r="R572" s="136"/>
      <c r="S572" s="136"/>
      <c r="T572" s="136"/>
      <c r="U572" s="136"/>
      <c r="V572" s="136"/>
      <c r="W572" s="136"/>
      <c r="X572" s="136"/>
      <c r="Y572" s="136"/>
      <c r="Z572" s="136"/>
      <c r="AA572" s="231"/>
    </row>
    <row r="573" spans="1:27" x14ac:dyDescent="0.2">
      <c r="A573" s="39"/>
      <c r="B573" s="39"/>
      <c r="C573" s="43"/>
      <c r="D573" s="43"/>
      <c r="E573" s="43"/>
      <c r="F573" s="132"/>
      <c r="G573" s="41" t="e">
        <f>VLOOKUP(F573,Pcode!A:B,2,FALSE)</f>
        <v>#N/A</v>
      </c>
      <c r="H573" s="41"/>
      <c r="I573" s="41" t="e">
        <f>VLOOKUP(H573,Pcode!C:D,2,FALSE)</f>
        <v>#N/A</v>
      </c>
      <c r="J573" s="41"/>
      <c r="K573" s="160"/>
      <c r="L573" s="160"/>
      <c r="M573" s="46"/>
      <c r="N573" s="136"/>
      <c r="O573" s="136"/>
      <c r="P573" s="136"/>
      <c r="Q573" s="136"/>
      <c r="R573" s="136"/>
      <c r="S573" s="136"/>
      <c r="T573" s="136"/>
      <c r="U573" s="136"/>
      <c r="V573" s="136"/>
      <c r="W573" s="136"/>
      <c r="X573" s="136"/>
      <c r="Y573" s="136"/>
      <c r="Z573" s="136"/>
      <c r="AA573" s="231"/>
    </row>
    <row r="574" spans="1:27" x14ac:dyDescent="0.2">
      <c r="A574" s="39"/>
      <c r="B574" s="39"/>
      <c r="C574" s="43"/>
      <c r="D574" s="43"/>
      <c r="E574" s="43"/>
      <c r="F574" s="132"/>
      <c r="G574" s="41" t="e">
        <f>VLOOKUP(F574,Pcode!A:B,2,FALSE)</f>
        <v>#N/A</v>
      </c>
      <c r="H574" s="41"/>
      <c r="I574" s="41" t="e">
        <f>VLOOKUP(H574,Pcode!C:D,2,FALSE)</f>
        <v>#N/A</v>
      </c>
      <c r="J574" s="41"/>
      <c r="K574" s="160"/>
      <c r="L574" s="160"/>
      <c r="M574" s="46"/>
      <c r="N574" s="136"/>
      <c r="O574" s="136"/>
      <c r="P574" s="136"/>
      <c r="Q574" s="136"/>
      <c r="R574" s="136"/>
      <c r="S574" s="136"/>
      <c r="T574" s="136"/>
      <c r="U574" s="136"/>
      <c r="V574" s="136"/>
      <c r="W574" s="136"/>
      <c r="X574" s="136"/>
      <c r="Y574" s="136"/>
      <c r="Z574" s="136"/>
      <c r="AA574" s="231"/>
    </row>
    <row r="575" spans="1:27" x14ac:dyDescent="0.2">
      <c r="A575" s="39"/>
      <c r="B575" s="39"/>
      <c r="C575" s="43"/>
      <c r="D575" s="43"/>
      <c r="E575" s="43"/>
      <c r="F575" s="132"/>
      <c r="G575" s="41" t="e">
        <f>VLOOKUP(F575,Pcode!A:B,2,FALSE)</f>
        <v>#N/A</v>
      </c>
      <c r="H575" s="41"/>
      <c r="I575" s="41" t="e">
        <f>VLOOKUP(H575,Pcode!C:D,2,FALSE)</f>
        <v>#N/A</v>
      </c>
      <c r="J575" s="41"/>
      <c r="K575" s="160"/>
      <c r="L575" s="160"/>
      <c r="M575" s="46"/>
      <c r="N575" s="136"/>
      <c r="O575" s="136"/>
      <c r="P575" s="136"/>
      <c r="Q575" s="136"/>
      <c r="R575" s="136"/>
      <c r="S575" s="136"/>
      <c r="T575" s="136"/>
      <c r="U575" s="136"/>
      <c r="V575" s="136"/>
      <c r="W575" s="136"/>
      <c r="X575" s="136"/>
      <c r="Y575" s="136"/>
      <c r="Z575" s="136"/>
      <c r="AA575" s="231"/>
    </row>
    <row r="576" spans="1:27" x14ac:dyDescent="0.2">
      <c r="A576" s="39"/>
      <c r="B576" s="39"/>
      <c r="C576" s="43"/>
      <c r="D576" s="43"/>
      <c r="E576" s="43"/>
      <c r="F576" s="132"/>
      <c r="G576" s="41" t="e">
        <f>VLOOKUP(F576,Pcode!A:B,2,FALSE)</f>
        <v>#N/A</v>
      </c>
      <c r="H576" s="41"/>
      <c r="I576" s="41" t="e">
        <f>VLOOKUP(H576,Pcode!C:D,2,FALSE)</f>
        <v>#N/A</v>
      </c>
      <c r="J576" s="41"/>
      <c r="K576" s="160"/>
      <c r="L576" s="160"/>
      <c r="M576" s="46"/>
      <c r="N576" s="136"/>
      <c r="O576" s="136"/>
      <c r="P576" s="136"/>
      <c r="Q576" s="136"/>
      <c r="R576" s="136"/>
      <c r="S576" s="136"/>
      <c r="T576" s="136"/>
      <c r="U576" s="136"/>
      <c r="V576" s="136"/>
      <c r="W576" s="136"/>
      <c r="X576" s="136"/>
      <c r="Y576" s="136"/>
      <c r="Z576" s="136"/>
      <c r="AA576" s="231"/>
    </row>
    <row r="577" spans="1:27" x14ac:dyDescent="0.2">
      <c r="A577" s="39"/>
      <c r="B577" s="39"/>
      <c r="C577" s="43"/>
      <c r="D577" s="43"/>
      <c r="E577" s="43"/>
      <c r="F577" s="132"/>
      <c r="G577" s="41" t="e">
        <f>VLOOKUP(F577,Pcode!A:B,2,FALSE)</f>
        <v>#N/A</v>
      </c>
      <c r="H577" s="41"/>
      <c r="I577" s="41" t="e">
        <f>VLOOKUP(H577,Pcode!C:D,2,FALSE)</f>
        <v>#N/A</v>
      </c>
      <c r="J577" s="41"/>
      <c r="K577" s="160"/>
      <c r="L577" s="160"/>
      <c r="M577" s="46"/>
      <c r="N577" s="136"/>
      <c r="O577" s="136"/>
      <c r="P577" s="136"/>
      <c r="Q577" s="136"/>
      <c r="R577" s="136"/>
      <c r="S577" s="136"/>
      <c r="T577" s="136"/>
      <c r="U577" s="136"/>
      <c r="V577" s="136"/>
      <c r="W577" s="136"/>
      <c r="X577" s="136"/>
      <c r="Y577" s="136"/>
      <c r="Z577" s="136"/>
      <c r="AA577" s="231"/>
    </row>
    <row r="578" spans="1:27" x14ac:dyDescent="0.2">
      <c r="A578" s="39"/>
      <c r="B578" s="39"/>
      <c r="C578" s="43"/>
      <c r="D578" s="43"/>
      <c r="E578" s="43"/>
      <c r="F578" s="132"/>
      <c r="G578" s="41" t="e">
        <f>VLOOKUP(F578,Pcode!A:B,2,FALSE)</f>
        <v>#N/A</v>
      </c>
      <c r="H578" s="41"/>
      <c r="I578" s="41" t="e">
        <f>VLOOKUP(H578,Pcode!C:D,2,FALSE)</f>
        <v>#N/A</v>
      </c>
      <c r="J578" s="41"/>
      <c r="K578" s="160"/>
      <c r="L578" s="160"/>
      <c r="M578" s="46"/>
      <c r="N578" s="136"/>
      <c r="O578" s="136"/>
      <c r="P578" s="136"/>
      <c r="Q578" s="136"/>
      <c r="R578" s="136"/>
      <c r="S578" s="136"/>
      <c r="T578" s="136"/>
      <c r="U578" s="136"/>
      <c r="V578" s="136"/>
      <c r="W578" s="136"/>
      <c r="X578" s="136"/>
      <c r="Y578" s="136"/>
      <c r="Z578" s="136"/>
      <c r="AA578" s="231"/>
    </row>
    <row r="579" spans="1:27" x14ac:dyDescent="0.2">
      <c r="A579" s="39"/>
      <c r="B579" s="39"/>
      <c r="C579" s="43"/>
      <c r="D579" s="43"/>
      <c r="E579" s="43"/>
      <c r="F579" s="132"/>
      <c r="G579" s="41" t="e">
        <f>VLOOKUP(F579,Pcode!A:B,2,FALSE)</f>
        <v>#N/A</v>
      </c>
      <c r="H579" s="41"/>
      <c r="I579" s="41" t="e">
        <f>VLOOKUP(H579,Pcode!C:D,2,FALSE)</f>
        <v>#N/A</v>
      </c>
      <c r="J579" s="41"/>
      <c r="K579" s="160"/>
      <c r="L579" s="160"/>
      <c r="M579" s="46"/>
      <c r="N579" s="136"/>
      <c r="O579" s="136"/>
      <c r="P579" s="136"/>
      <c r="Q579" s="136"/>
      <c r="R579" s="136"/>
      <c r="S579" s="136"/>
      <c r="T579" s="136"/>
      <c r="U579" s="136"/>
      <c r="V579" s="136"/>
      <c r="W579" s="136"/>
      <c r="X579" s="136"/>
      <c r="Y579" s="136"/>
      <c r="Z579" s="136"/>
      <c r="AA579" s="231"/>
    </row>
    <row r="580" spans="1:27" x14ac:dyDescent="0.2">
      <c r="A580" s="39"/>
      <c r="B580" s="39"/>
      <c r="C580" s="43"/>
      <c r="D580" s="43"/>
      <c r="E580" s="43"/>
      <c r="F580" s="132"/>
      <c r="G580" s="41" t="e">
        <f>VLOOKUP(F580,Pcode!A:B,2,FALSE)</f>
        <v>#N/A</v>
      </c>
      <c r="H580" s="41"/>
      <c r="I580" s="41" t="e">
        <f>VLOOKUP(H580,Pcode!C:D,2,FALSE)</f>
        <v>#N/A</v>
      </c>
      <c r="J580" s="41"/>
      <c r="K580" s="160"/>
      <c r="L580" s="160"/>
      <c r="M580" s="46"/>
      <c r="N580" s="136"/>
      <c r="O580" s="136"/>
      <c r="P580" s="136"/>
      <c r="Q580" s="136"/>
      <c r="R580" s="136"/>
      <c r="S580" s="136"/>
      <c r="T580" s="136"/>
      <c r="U580" s="136"/>
      <c r="V580" s="136"/>
      <c r="W580" s="136"/>
      <c r="X580" s="136"/>
      <c r="Y580" s="136"/>
      <c r="Z580" s="136"/>
      <c r="AA580" s="231"/>
    </row>
    <row r="581" spans="1:27" x14ac:dyDescent="0.2">
      <c r="A581" s="39"/>
      <c r="B581" s="39"/>
      <c r="C581" s="43"/>
      <c r="D581" s="43"/>
      <c r="E581" s="43"/>
      <c r="F581" s="132"/>
      <c r="G581" s="41" t="e">
        <f>VLOOKUP(F581,Pcode!A:B,2,FALSE)</f>
        <v>#N/A</v>
      </c>
      <c r="H581" s="41"/>
      <c r="I581" s="41" t="e">
        <f>VLOOKUP(H581,Pcode!C:D,2,FALSE)</f>
        <v>#N/A</v>
      </c>
      <c r="J581" s="41"/>
      <c r="K581" s="160"/>
      <c r="L581" s="160"/>
      <c r="M581" s="46"/>
      <c r="N581" s="136"/>
      <c r="O581" s="136"/>
      <c r="P581" s="136"/>
      <c r="Q581" s="136"/>
      <c r="R581" s="136"/>
      <c r="S581" s="136"/>
      <c r="T581" s="136"/>
      <c r="U581" s="136"/>
      <c r="V581" s="136"/>
      <c r="W581" s="136"/>
      <c r="X581" s="136"/>
      <c r="Y581" s="136"/>
      <c r="Z581" s="136"/>
      <c r="AA581" s="231"/>
    </row>
    <row r="582" spans="1:27" x14ac:dyDescent="0.2">
      <c r="A582" s="39"/>
      <c r="B582" s="39"/>
      <c r="C582" s="43"/>
      <c r="D582" s="43"/>
      <c r="E582" s="43"/>
      <c r="F582" s="132"/>
      <c r="G582" s="41" t="e">
        <f>VLOOKUP(F582,Pcode!A:B,2,FALSE)</f>
        <v>#N/A</v>
      </c>
      <c r="H582" s="41"/>
      <c r="I582" s="41" t="e">
        <f>VLOOKUP(H582,Pcode!C:D,2,FALSE)</f>
        <v>#N/A</v>
      </c>
      <c r="J582" s="41"/>
      <c r="K582" s="160"/>
      <c r="L582" s="160"/>
      <c r="M582" s="46"/>
      <c r="N582" s="136"/>
      <c r="O582" s="136"/>
      <c r="P582" s="136"/>
      <c r="Q582" s="136"/>
      <c r="R582" s="136"/>
      <c r="S582" s="136"/>
      <c r="T582" s="136"/>
      <c r="U582" s="136"/>
      <c r="V582" s="136"/>
      <c r="W582" s="136"/>
      <c r="X582" s="136"/>
      <c r="Y582" s="136"/>
      <c r="Z582" s="136"/>
      <c r="AA582" s="231"/>
    </row>
    <row r="583" spans="1:27" x14ac:dyDescent="0.2">
      <c r="A583" s="39"/>
      <c r="B583" s="39"/>
      <c r="C583" s="43"/>
      <c r="D583" s="43"/>
      <c r="E583" s="43"/>
      <c r="F583" s="132"/>
      <c r="G583" s="41" t="e">
        <f>VLOOKUP(F583,Pcode!A:B,2,FALSE)</f>
        <v>#N/A</v>
      </c>
      <c r="H583" s="41"/>
      <c r="I583" s="41" t="e">
        <f>VLOOKUP(H583,Pcode!C:D,2,FALSE)</f>
        <v>#N/A</v>
      </c>
      <c r="J583" s="41"/>
      <c r="K583" s="160"/>
      <c r="L583" s="160"/>
      <c r="M583" s="46"/>
      <c r="N583" s="136"/>
      <c r="O583" s="136"/>
      <c r="P583" s="136"/>
      <c r="Q583" s="136"/>
      <c r="R583" s="136"/>
      <c r="S583" s="136"/>
      <c r="T583" s="136"/>
      <c r="U583" s="136"/>
      <c r="V583" s="136"/>
      <c r="W583" s="136"/>
      <c r="X583" s="136"/>
      <c r="Y583" s="136"/>
      <c r="Z583" s="136"/>
      <c r="AA583" s="231"/>
    </row>
    <row r="584" spans="1:27" x14ac:dyDescent="0.2">
      <c r="A584" s="39"/>
      <c r="B584" s="39"/>
      <c r="C584" s="43"/>
      <c r="D584" s="43"/>
      <c r="E584" s="43"/>
      <c r="F584" s="132"/>
      <c r="G584" s="41" t="e">
        <f>VLOOKUP(F584,Pcode!A:B,2,FALSE)</f>
        <v>#N/A</v>
      </c>
      <c r="H584" s="41"/>
      <c r="I584" s="41" t="e">
        <f>VLOOKUP(H584,Pcode!C:D,2,FALSE)</f>
        <v>#N/A</v>
      </c>
      <c r="J584" s="41"/>
      <c r="K584" s="160"/>
      <c r="L584" s="160"/>
      <c r="M584" s="46"/>
      <c r="N584" s="136"/>
      <c r="O584" s="136"/>
      <c r="P584" s="136"/>
      <c r="Q584" s="136"/>
      <c r="R584" s="136"/>
      <c r="S584" s="136"/>
      <c r="T584" s="136"/>
      <c r="U584" s="136"/>
      <c r="V584" s="136"/>
      <c r="W584" s="136"/>
      <c r="X584" s="136"/>
      <c r="Y584" s="136"/>
      <c r="Z584" s="136"/>
      <c r="AA584" s="231"/>
    </row>
    <row r="585" spans="1:27" x14ac:dyDescent="0.2">
      <c r="A585" s="39"/>
      <c r="B585" s="39"/>
      <c r="C585" s="43"/>
      <c r="D585" s="43"/>
      <c r="E585" s="43"/>
      <c r="F585" s="132"/>
      <c r="G585" s="41" t="e">
        <f>VLOOKUP(F585,Pcode!A:B,2,FALSE)</f>
        <v>#N/A</v>
      </c>
      <c r="H585" s="41"/>
      <c r="I585" s="41" t="e">
        <f>VLOOKUP(H585,Pcode!C:D,2,FALSE)</f>
        <v>#N/A</v>
      </c>
      <c r="J585" s="41"/>
      <c r="K585" s="160"/>
      <c r="L585" s="160"/>
      <c r="M585" s="46"/>
      <c r="N585" s="136"/>
      <c r="O585" s="136"/>
      <c r="P585" s="136"/>
      <c r="Q585" s="136"/>
      <c r="R585" s="136"/>
      <c r="S585" s="136"/>
      <c r="T585" s="136"/>
      <c r="U585" s="136"/>
      <c r="V585" s="136"/>
      <c r="W585" s="136"/>
      <c r="X585" s="136"/>
      <c r="Y585" s="136"/>
      <c r="Z585" s="136"/>
      <c r="AA585" s="231"/>
    </row>
    <row r="586" spans="1:27" x14ac:dyDescent="0.2">
      <c r="A586" s="39"/>
      <c r="B586" s="39"/>
      <c r="C586" s="43"/>
      <c r="D586" s="43"/>
      <c r="E586" s="43"/>
      <c r="F586" s="132"/>
      <c r="G586" s="41" t="e">
        <f>VLOOKUP(F586,Pcode!A:B,2,FALSE)</f>
        <v>#N/A</v>
      </c>
      <c r="H586" s="41"/>
      <c r="I586" s="41" t="e">
        <f>VLOOKUP(H586,Pcode!C:D,2,FALSE)</f>
        <v>#N/A</v>
      </c>
      <c r="J586" s="41"/>
      <c r="K586" s="160"/>
      <c r="L586" s="160"/>
      <c r="M586" s="46"/>
      <c r="N586" s="136"/>
      <c r="O586" s="136"/>
      <c r="P586" s="136"/>
      <c r="Q586" s="136"/>
      <c r="R586" s="136"/>
      <c r="S586" s="136"/>
      <c r="T586" s="136"/>
      <c r="U586" s="136"/>
      <c r="V586" s="136"/>
      <c r="W586" s="136"/>
      <c r="X586" s="136"/>
      <c r="Y586" s="136"/>
      <c r="Z586" s="136"/>
      <c r="AA586" s="231"/>
    </row>
    <row r="587" spans="1:27" x14ac:dyDescent="0.2">
      <c r="A587" s="39"/>
      <c r="B587" s="39"/>
      <c r="C587" s="43"/>
      <c r="D587" s="43"/>
      <c r="E587" s="43"/>
      <c r="F587" s="132"/>
      <c r="G587" s="41" t="e">
        <f>VLOOKUP(F587,Pcode!A:B,2,FALSE)</f>
        <v>#N/A</v>
      </c>
      <c r="H587" s="41"/>
      <c r="I587" s="41" t="e">
        <f>VLOOKUP(H587,Pcode!C:D,2,FALSE)</f>
        <v>#N/A</v>
      </c>
      <c r="J587" s="41"/>
      <c r="K587" s="160"/>
      <c r="L587" s="160"/>
      <c r="M587" s="46"/>
      <c r="N587" s="136"/>
      <c r="O587" s="136"/>
      <c r="P587" s="136"/>
      <c r="Q587" s="136"/>
      <c r="R587" s="136"/>
      <c r="S587" s="136"/>
      <c r="T587" s="136"/>
      <c r="U587" s="136"/>
      <c r="V587" s="136"/>
      <c r="W587" s="136"/>
      <c r="X587" s="136"/>
      <c r="Y587" s="136"/>
      <c r="Z587" s="136"/>
      <c r="AA587" s="231"/>
    </row>
    <row r="588" spans="1:27" x14ac:dyDescent="0.2">
      <c r="A588" s="39"/>
      <c r="B588" s="39"/>
      <c r="C588" s="43"/>
      <c r="D588" s="43"/>
      <c r="E588" s="43"/>
      <c r="F588" s="132"/>
      <c r="G588" s="41" t="e">
        <f>VLOOKUP(F588,Pcode!A:B,2,FALSE)</f>
        <v>#N/A</v>
      </c>
      <c r="H588" s="41"/>
      <c r="I588" s="41" t="e">
        <f>VLOOKUP(H588,Pcode!C:D,2,FALSE)</f>
        <v>#N/A</v>
      </c>
      <c r="J588" s="41"/>
      <c r="K588" s="160"/>
      <c r="L588" s="160"/>
      <c r="M588" s="46"/>
      <c r="N588" s="136"/>
      <c r="O588" s="136"/>
      <c r="P588" s="136"/>
      <c r="Q588" s="136"/>
      <c r="R588" s="136"/>
      <c r="S588" s="136"/>
      <c r="T588" s="136"/>
      <c r="U588" s="136"/>
      <c r="V588" s="136"/>
      <c r="W588" s="136"/>
      <c r="X588" s="136"/>
      <c r="Y588" s="136"/>
      <c r="Z588" s="136"/>
      <c r="AA588" s="231"/>
    </row>
    <row r="589" spans="1:27" x14ac:dyDescent="0.2">
      <c r="A589" s="39"/>
      <c r="B589" s="39"/>
      <c r="C589" s="43"/>
      <c r="D589" s="43"/>
      <c r="E589" s="43"/>
      <c r="F589" s="132"/>
      <c r="G589" s="41" t="e">
        <f>VLOOKUP(F589,Pcode!A:B,2,FALSE)</f>
        <v>#N/A</v>
      </c>
      <c r="H589" s="41"/>
      <c r="I589" s="41" t="e">
        <f>VLOOKUP(H589,Pcode!C:D,2,FALSE)</f>
        <v>#N/A</v>
      </c>
      <c r="J589" s="41"/>
      <c r="K589" s="160"/>
      <c r="L589" s="160"/>
      <c r="M589" s="46"/>
      <c r="N589" s="136"/>
      <c r="O589" s="136"/>
      <c r="P589" s="136"/>
      <c r="Q589" s="136"/>
      <c r="R589" s="136"/>
      <c r="S589" s="136"/>
      <c r="T589" s="136"/>
      <c r="U589" s="136"/>
      <c r="V589" s="136"/>
      <c r="W589" s="136"/>
      <c r="X589" s="136"/>
      <c r="Y589" s="136"/>
      <c r="Z589" s="136"/>
      <c r="AA589" s="231"/>
    </row>
    <row r="590" spans="1:27" x14ac:dyDescent="0.2">
      <c r="A590" s="39"/>
      <c r="B590" s="39"/>
      <c r="C590" s="43"/>
      <c r="D590" s="43"/>
      <c r="E590" s="43"/>
      <c r="F590" s="132"/>
      <c r="G590" s="41" t="e">
        <f>VLOOKUP(F590,Pcode!A:B,2,FALSE)</f>
        <v>#N/A</v>
      </c>
      <c r="H590" s="41"/>
      <c r="I590" s="41" t="e">
        <f>VLOOKUP(H590,Pcode!C:D,2,FALSE)</f>
        <v>#N/A</v>
      </c>
      <c r="J590" s="41"/>
      <c r="K590" s="160"/>
      <c r="L590" s="160"/>
      <c r="M590" s="46"/>
      <c r="N590" s="136"/>
      <c r="O590" s="136"/>
      <c r="P590" s="136"/>
      <c r="Q590" s="136"/>
      <c r="R590" s="136"/>
      <c r="S590" s="136"/>
      <c r="T590" s="136"/>
      <c r="U590" s="136"/>
      <c r="V590" s="136"/>
      <c r="W590" s="136"/>
      <c r="X590" s="136"/>
      <c r="Y590" s="136"/>
      <c r="Z590" s="136"/>
      <c r="AA590" s="231"/>
    </row>
    <row r="591" spans="1:27" x14ac:dyDescent="0.2">
      <c r="A591" s="39"/>
      <c r="B591" s="39"/>
      <c r="C591" s="43"/>
      <c r="D591" s="43"/>
      <c r="E591" s="43"/>
      <c r="F591" s="132"/>
      <c r="G591" s="41" t="e">
        <f>VLOOKUP(F591,Pcode!A:B,2,FALSE)</f>
        <v>#N/A</v>
      </c>
      <c r="H591" s="41"/>
      <c r="I591" s="41" t="e">
        <f>VLOOKUP(H591,Pcode!C:D,2,FALSE)</f>
        <v>#N/A</v>
      </c>
      <c r="J591" s="41"/>
      <c r="K591" s="160"/>
      <c r="L591" s="160"/>
      <c r="M591" s="46"/>
      <c r="N591" s="136"/>
      <c r="O591" s="136"/>
      <c r="P591" s="136"/>
      <c r="Q591" s="136"/>
      <c r="R591" s="136"/>
      <c r="S591" s="136"/>
      <c r="T591" s="136"/>
      <c r="U591" s="136"/>
      <c r="V591" s="136"/>
      <c r="W591" s="136"/>
      <c r="X591" s="136"/>
      <c r="Y591" s="136"/>
      <c r="Z591" s="136"/>
      <c r="AA591" s="231"/>
    </row>
    <row r="592" spans="1:27" x14ac:dyDescent="0.2">
      <c r="A592" s="39"/>
      <c r="B592" s="39"/>
      <c r="C592" s="43"/>
      <c r="D592" s="43"/>
      <c r="E592" s="43"/>
      <c r="F592" s="132"/>
      <c r="G592" s="41" t="e">
        <f>VLOOKUP(F592,Pcode!A:B,2,FALSE)</f>
        <v>#N/A</v>
      </c>
      <c r="H592" s="41"/>
      <c r="I592" s="41" t="e">
        <f>VLOOKUP(H592,Pcode!C:D,2,FALSE)</f>
        <v>#N/A</v>
      </c>
      <c r="J592" s="41"/>
      <c r="K592" s="160"/>
      <c r="L592" s="160"/>
      <c r="M592" s="46"/>
      <c r="N592" s="136"/>
      <c r="O592" s="136"/>
      <c r="P592" s="136"/>
      <c r="Q592" s="136"/>
      <c r="R592" s="136"/>
      <c r="S592" s="136"/>
      <c r="T592" s="136"/>
      <c r="U592" s="136"/>
      <c r="V592" s="136"/>
      <c r="W592" s="136"/>
      <c r="X592" s="136"/>
      <c r="Y592" s="136"/>
      <c r="Z592" s="136"/>
      <c r="AA592" s="231"/>
    </row>
    <row r="593" spans="1:27" x14ac:dyDescent="0.2">
      <c r="A593" s="39"/>
      <c r="B593" s="39"/>
      <c r="C593" s="43"/>
      <c r="D593" s="43"/>
      <c r="E593" s="43"/>
      <c r="F593" s="132"/>
      <c r="G593" s="41" t="e">
        <f>VLOOKUP(F593,Pcode!A:B,2,FALSE)</f>
        <v>#N/A</v>
      </c>
      <c r="H593" s="41"/>
      <c r="I593" s="41" t="e">
        <f>VLOOKUP(H593,Pcode!C:D,2,FALSE)</f>
        <v>#N/A</v>
      </c>
      <c r="J593" s="41"/>
      <c r="K593" s="160"/>
      <c r="L593" s="160"/>
      <c r="M593" s="46"/>
      <c r="N593" s="136"/>
      <c r="O593" s="136"/>
      <c r="P593" s="136"/>
      <c r="Q593" s="136"/>
      <c r="R593" s="136"/>
      <c r="S593" s="136"/>
      <c r="T593" s="136"/>
      <c r="U593" s="136"/>
      <c r="V593" s="136"/>
      <c r="W593" s="136"/>
      <c r="X593" s="136"/>
      <c r="Y593" s="136"/>
      <c r="Z593" s="136"/>
      <c r="AA593" s="231"/>
    </row>
    <row r="594" spans="1:27" x14ac:dyDescent="0.2">
      <c r="A594" s="39"/>
      <c r="B594" s="39"/>
      <c r="C594" s="43"/>
      <c r="D594" s="43"/>
      <c r="E594" s="43"/>
      <c r="F594" s="132"/>
      <c r="G594" s="41" t="e">
        <f>VLOOKUP(F594,Pcode!A:B,2,FALSE)</f>
        <v>#N/A</v>
      </c>
      <c r="H594" s="41"/>
      <c r="I594" s="41" t="e">
        <f>VLOOKUP(H594,Pcode!C:D,2,FALSE)</f>
        <v>#N/A</v>
      </c>
      <c r="J594" s="41"/>
      <c r="K594" s="160"/>
      <c r="L594" s="160"/>
      <c r="M594" s="46"/>
      <c r="N594" s="136"/>
      <c r="O594" s="136"/>
      <c r="P594" s="136"/>
      <c r="Q594" s="136"/>
      <c r="R594" s="136"/>
      <c r="S594" s="136"/>
      <c r="T594" s="136"/>
      <c r="U594" s="136"/>
      <c r="V594" s="136"/>
      <c r="W594" s="136"/>
      <c r="X594" s="136"/>
      <c r="Y594" s="136"/>
      <c r="Z594" s="136"/>
      <c r="AA594" s="231"/>
    </row>
    <row r="595" spans="1:27" x14ac:dyDescent="0.2">
      <c r="A595" s="39"/>
      <c r="B595" s="39"/>
      <c r="C595" s="43"/>
      <c r="D595" s="43"/>
      <c r="E595" s="43"/>
      <c r="F595" s="132"/>
      <c r="G595" s="41" t="e">
        <f>VLOOKUP(F595,Pcode!A:B,2,FALSE)</f>
        <v>#N/A</v>
      </c>
      <c r="H595" s="41"/>
      <c r="I595" s="41" t="e">
        <f>VLOOKUP(H595,Pcode!C:D,2,FALSE)</f>
        <v>#N/A</v>
      </c>
      <c r="J595" s="41"/>
      <c r="K595" s="160"/>
      <c r="L595" s="160"/>
      <c r="M595" s="46"/>
      <c r="N595" s="136"/>
      <c r="O595" s="136"/>
      <c r="P595" s="136"/>
      <c r="Q595" s="136"/>
      <c r="R595" s="136"/>
      <c r="S595" s="136"/>
      <c r="T595" s="136"/>
      <c r="U595" s="136"/>
      <c r="V595" s="136"/>
      <c r="W595" s="136"/>
      <c r="X595" s="136"/>
      <c r="Y595" s="136"/>
      <c r="Z595" s="136"/>
      <c r="AA595" s="231"/>
    </row>
    <row r="596" spans="1:27" x14ac:dyDescent="0.2">
      <c r="A596" s="39"/>
      <c r="B596" s="39"/>
      <c r="C596" s="43"/>
      <c r="D596" s="43"/>
      <c r="E596" s="43"/>
      <c r="F596" s="132"/>
      <c r="G596" s="41" t="e">
        <f>VLOOKUP(F596,Pcode!A:B,2,FALSE)</f>
        <v>#N/A</v>
      </c>
      <c r="H596" s="41"/>
      <c r="I596" s="41" t="e">
        <f>VLOOKUP(H596,Pcode!C:D,2,FALSE)</f>
        <v>#N/A</v>
      </c>
      <c r="J596" s="41"/>
      <c r="K596" s="160"/>
      <c r="L596" s="160"/>
      <c r="M596" s="46"/>
      <c r="N596" s="136"/>
      <c r="O596" s="136"/>
      <c r="P596" s="136"/>
      <c r="Q596" s="136"/>
      <c r="R596" s="136"/>
      <c r="S596" s="136"/>
      <c r="T596" s="136"/>
      <c r="U596" s="136"/>
      <c r="V596" s="136"/>
      <c r="W596" s="136"/>
      <c r="X596" s="136"/>
      <c r="Y596" s="136"/>
      <c r="Z596" s="136"/>
      <c r="AA596" s="231"/>
    </row>
    <row r="597" spans="1:27" x14ac:dyDescent="0.2">
      <c r="A597" s="39"/>
      <c r="B597" s="39"/>
      <c r="C597" s="43"/>
      <c r="D597" s="43"/>
      <c r="E597" s="43"/>
      <c r="F597" s="132"/>
      <c r="G597" s="41" t="e">
        <f>VLOOKUP(F597,Pcode!A:B,2,FALSE)</f>
        <v>#N/A</v>
      </c>
      <c r="H597" s="41"/>
      <c r="I597" s="41" t="e">
        <f>VLOOKUP(H597,Pcode!C:D,2,FALSE)</f>
        <v>#N/A</v>
      </c>
      <c r="J597" s="41"/>
      <c r="K597" s="160"/>
      <c r="L597" s="160"/>
      <c r="M597" s="46"/>
      <c r="N597" s="136"/>
      <c r="O597" s="136"/>
      <c r="P597" s="136"/>
      <c r="Q597" s="136"/>
      <c r="R597" s="136"/>
      <c r="S597" s="136"/>
      <c r="T597" s="136"/>
      <c r="U597" s="136"/>
      <c r="V597" s="136"/>
      <c r="W597" s="136"/>
      <c r="X597" s="136"/>
      <c r="Y597" s="136"/>
      <c r="Z597" s="136"/>
      <c r="AA597" s="231"/>
    </row>
    <row r="598" spans="1:27" x14ac:dyDescent="0.2">
      <c r="A598" s="39"/>
      <c r="B598" s="39"/>
      <c r="C598" s="43"/>
      <c r="D598" s="43"/>
      <c r="E598" s="43"/>
      <c r="F598" s="132"/>
      <c r="G598" s="41" t="e">
        <f>VLOOKUP(F598,Pcode!A:B,2,FALSE)</f>
        <v>#N/A</v>
      </c>
      <c r="H598" s="41"/>
      <c r="I598" s="41" t="e">
        <f>VLOOKUP(H598,Pcode!C:D,2,FALSE)</f>
        <v>#N/A</v>
      </c>
      <c r="J598" s="41"/>
      <c r="K598" s="160"/>
      <c r="L598" s="160"/>
      <c r="M598" s="46"/>
      <c r="N598" s="136"/>
      <c r="O598" s="136"/>
      <c r="P598" s="136"/>
      <c r="Q598" s="136"/>
      <c r="R598" s="136"/>
      <c r="S598" s="136"/>
      <c r="T598" s="136"/>
      <c r="U598" s="136"/>
      <c r="V598" s="136"/>
      <c r="W598" s="136"/>
      <c r="X598" s="136"/>
      <c r="Y598" s="136"/>
      <c r="Z598" s="136"/>
      <c r="AA598" s="231"/>
    </row>
    <row r="599" spans="1:27" x14ac:dyDescent="0.2">
      <c r="A599" s="39"/>
      <c r="B599" s="39"/>
      <c r="C599" s="43"/>
      <c r="D599" s="43"/>
      <c r="E599" s="43"/>
      <c r="F599" s="132"/>
      <c r="G599" s="41" t="e">
        <f>VLOOKUP(F599,Pcode!A:B,2,FALSE)</f>
        <v>#N/A</v>
      </c>
      <c r="H599" s="41"/>
      <c r="I599" s="41" t="e">
        <f>VLOOKUP(H599,Pcode!C:D,2,FALSE)</f>
        <v>#N/A</v>
      </c>
      <c r="J599" s="41"/>
      <c r="K599" s="160"/>
      <c r="L599" s="160"/>
      <c r="M599" s="46"/>
      <c r="N599" s="136"/>
      <c r="O599" s="136"/>
      <c r="P599" s="136"/>
      <c r="Q599" s="136"/>
      <c r="R599" s="136"/>
      <c r="S599" s="136"/>
      <c r="T599" s="136"/>
      <c r="U599" s="136"/>
      <c r="V599" s="136"/>
      <c r="W599" s="136"/>
      <c r="X599" s="136"/>
      <c r="Y599" s="136"/>
      <c r="Z599" s="136"/>
      <c r="AA599" s="231"/>
    </row>
    <row r="600" spans="1:27" x14ac:dyDescent="0.2">
      <c r="A600" s="39"/>
      <c r="B600" s="39"/>
      <c r="C600" s="43"/>
      <c r="D600" s="43"/>
      <c r="E600" s="43"/>
      <c r="F600" s="132"/>
      <c r="G600" s="41" t="e">
        <f>VLOOKUP(F600,Pcode!A:B,2,FALSE)</f>
        <v>#N/A</v>
      </c>
      <c r="H600" s="41"/>
      <c r="I600" s="41" t="e">
        <f>VLOOKUP(H600,Pcode!C:D,2,FALSE)</f>
        <v>#N/A</v>
      </c>
      <c r="J600" s="41"/>
      <c r="K600" s="160"/>
      <c r="L600" s="160"/>
      <c r="M600" s="46"/>
      <c r="N600" s="136"/>
      <c r="O600" s="136"/>
      <c r="P600" s="136"/>
      <c r="Q600" s="136"/>
      <c r="R600" s="136"/>
      <c r="S600" s="136"/>
      <c r="T600" s="136"/>
      <c r="U600" s="136"/>
      <c r="V600" s="136"/>
      <c r="W600" s="136"/>
      <c r="X600" s="136"/>
      <c r="Y600" s="136"/>
      <c r="Z600" s="136"/>
      <c r="AA600" s="231"/>
    </row>
    <row r="601" spans="1:27" x14ac:dyDescent="0.2">
      <c r="A601" s="39"/>
      <c r="B601" s="39"/>
      <c r="C601" s="43"/>
      <c r="D601" s="43"/>
      <c r="E601" s="43"/>
      <c r="F601" s="132"/>
      <c r="G601" s="41" t="e">
        <f>VLOOKUP(F601,Pcode!A:B,2,FALSE)</f>
        <v>#N/A</v>
      </c>
      <c r="H601" s="41"/>
      <c r="I601" s="41" t="e">
        <f>VLOOKUP(H601,Pcode!C:D,2,FALSE)</f>
        <v>#N/A</v>
      </c>
      <c r="J601" s="41"/>
      <c r="K601" s="160"/>
      <c r="L601" s="160"/>
      <c r="M601" s="46"/>
      <c r="N601" s="136"/>
      <c r="O601" s="136"/>
      <c r="P601" s="136"/>
      <c r="Q601" s="136"/>
      <c r="R601" s="136"/>
      <c r="S601" s="136"/>
      <c r="T601" s="136"/>
      <c r="U601" s="136"/>
      <c r="V601" s="136"/>
      <c r="W601" s="136"/>
      <c r="X601" s="136"/>
      <c r="Y601" s="136"/>
      <c r="Z601" s="136"/>
      <c r="AA601" s="231"/>
    </row>
    <row r="602" spans="1:27" x14ac:dyDescent="0.2">
      <c r="A602" s="39"/>
      <c r="B602" s="39"/>
      <c r="C602" s="43"/>
      <c r="D602" s="43"/>
      <c r="E602" s="43"/>
      <c r="F602" s="132"/>
      <c r="G602" s="41" t="e">
        <f>VLOOKUP(F602,Pcode!A:B,2,FALSE)</f>
        <v>#N/A</v>
      </c>
      <c r="H602" s="41"/>
      <c r="I602" s="41" t="e">
        <f>VLOOKUP(H602,Pcode!C:D,2,FALSE)</f>
        <v>#N/A</v>
      </c>
      <c r="J602" s="41"/>
      <c r="K602" s="160"/>
      <c r="L602" s="160"/>
      <c r="M602" s="46"/>
      <c r="N602" s="136"/>
      <c r="O602" s="136"/>
      <c r="P602" s="136"/>
      <c r="Q602" s="136"/>
      <c r="R602" s="136"/>
      <c r="S602" s="136"/>
      <c r="T602" s="136"/>
      <c r="U602" s="136"/>
      <c r="V602" s="136"/>
      <c r="W602" s="136"/>
      <c r="X602" s="136"/>
      <c r="Y602" s="136"/>
      <c r="Z602" s="136"/>
      <c r="AA602" s="231"/>
    </row>
    <row r="603" spans="1:27" x14ac:dyDescent="0.2">
      <c r="A603" s="39"/>
      <c r="B603" s="39"/>
      <c r="C603" s="43"/>
      <c r="D603" s="43"/>
      <c r="E603" s="43"/>
      <c r="F603" s="132"/>
      <c r="G603" s="41" t="e">
        <f>VLOOKUP(F603,Pcode!A:B,2,FALSE)</f>
        <v>#N/A</v>
      </c>
      <c r="H603" s="41"/>
      <c r="I603" s="41" t="e">
        <f>VLOOKUP(H603,Pcode!C:D,2,FALSE)</f>
        <v>#N/A</v>
      </c>
      <c r="J603" s="41"/>
      <c r="K603" s="160"/>
      <c r="L603" s="160"/>
      <c r="M603" s="46"/>
      <c r="N603" s="136"/>
      <c r="O603" s="136"/>
      <c r="P603" s="136"/>
      <c r="Q603" s="136"/>
      <c r="R603" s="136"/>
      <c r="S603" s="136"/>
      <c r="T603" s="136"/>
      <c r="U603" s="136"/>
      <c r="V603" s="136"/>
      <c r="W603" s="136"/>
      <c r="X603" s="136"/>
      <c r="Y603" s="136"/>
      <c r="Z603" s="136"/>
      <c r="AA603" s="231"/>
    </row>
    <row r="604" spans="1:27" x14ac:dyDescent="0.2">
      <c r="A604" s="39"/>
      <c r="B604" s="39"/>
      <c r="C604" s="43"/>
      <c r="D604" s="43"/>
      <c r="E604" s="43"/>
      <c r="F604" s="132"/>
      <c r="G604" s="41" t="e">
        <f>VLOOKUP(F604,Pcode!A:B,2,FALSE)</f>
        <v>#N/A</v>
      </c>
      <c r="H604" s="41"/>
      <c r="I604" s="41" t="e">
        <f>VLOOKUP(H604,Pcode!C:D,2,FALSE)</f>
        <v>#N/A</v>
      </c>
      <c r="J604" s="41"/>
      <c r="K604" s="160"/>
      <c r="L604" s="160"/>
      <c r="M604" s="46"/>
      <c r="N604" s="136"/>
      <c r="O604" s="136"/>
      <c r="P604" s="136"/>
      <c r="Q604" s="136"/>
      <c r="R604" s="136"/>
      <c r="S604" s="136"/>
      <c r="T604" s="136"/>
      <c r="U604" s="136"/>
      <c r="V604" s="136"/>
      <c r="W604" s="136"/>
      <c r="X604" s="136"/>
      <c r="Y604" s="136"/>
      <c r="Z604" s="136"/>
      <c r="AA604" s="231"/>
    </row>
    <row r="605" spans="1:27" x14ac:dyDescent="0.2">
      <c r="A605" s="39"/>
      <c r="B605" s="39"/>
      <c r="C605" s="43"/>
      <c r="D605" s="43"/>
      <c r="E605" s="43"/>
      <c r="F605" s="132"/>
      <c r="G605" s="41" t="e">
        <f>VLOOKUP(F605,Pcode!A:B,2,FALSE)</f>
        <v>#N/A</v>
      </c>
      <c r="H605" s="41"/>
      <c r="I605" s="41" t="e">
        <f>VLOOKUP(H605,Pcode!C:D,2,FALSE)</f>
        <v>#N/A</v>
      </c>
      <c r="J605" s="41"/>
      <c r="K605" s="160"/>
      <c r="L605" s="160"/>
      <c r="M605" s="46"/>
      <c r="N605" s="136"/>
      <c r="O605" s="136"/>
      <c r="P605" s="136"/>
      <c r="Q605" s="136"/>
      <c r="R605" s="136"/>
      <c r="S605" s="136"/>
      <c r="T605" s="136"/>
      <c r="U605" s="136"/>
      <c r="V605" s="136"/>
      <c r="W605" s="136"/>
      <c r="X605" s="136"/>
      <c r="Y605" s="136"/>
      <c r="Z605" s="136"/>
      <c r="AA605" s="231"/>
    </row>
    <row r="606" spans="1:27" x14ac:dyDescent="0.2">
      <c r="A606" s="39"/>
      <c r="B606" s="39"/>
      <c r="C606" s="43"/>
      <c r="D606" s="43"/>
      <c r="E606" s="43"/>
      <c r="F606" s="132"/>
      <c r="G606" s="41" t="e">
        <f>VLOOKUP(F606,Pcode!A:B,2,FALSE)</f>
        <v>#N/A</v>
      </c>
      <c r="H606" s="41"/>
      <c r="I606" s="41" t="e">
        <f>VLOOKUP(H606,Pcode!C:D,2,FALSE)</f>
        <v>#N/A</v>
      </c>
      <c r="J606" s="41"/>
      <c r="K606" s="160"/>
      <c r="L606" s="160"/>
      <c r="M606" s="46"/>
      <c r="N606" s="136"/>
      <c r="O606" s="136"/>
      <c r="P606" s="136"/>
      <c r="Q606" s="136"/>
      <c r="R606" s="136"/>
      <c r="S606" s="136"/>
      <c r="T606" s="136"/>
      <c r="U606" s="136"/>
      <c r="V606" s="136"/>
      <c r="W606" s="136"/>
      <c r="X606" s="136"/>
      <c r="Y606" s="136"/>
      <c r="Z606" s="136"/>
      <c r="AA606" s="231"/>
    </row>
    <row r="607" spans="1:27" x14ac:dyDescent="0.2">
      <c r="A607" s="39"/>
      <c r="B607" s="39"/>
      <c r="C607" s="43"/>
      <c r="D607" s="43"/>
      <c r="E607" s="43"/>
      <c r="F607" s="132"/>
      <c r="G607" s="41" t="e">
        <f>VLOOKUP(F607,Pcode!A:B,2,FALSE)</f>
        <v>#N/A</v>
      </c>
      <c r="H607" s="41"/>
      <c r="I607" s="41" t="e">
        <f>VLOOKUP(H607,Pcode!C:D,2,FALSE)</f>
        <v>#N/A</v>
      </c>
      <c r="J607" s="41"/>
      <c r="K607" s="160"/>
      <c r="L607" s="160"/>
      <c r="M607" s="46"/>
      <c r="N607" s="136"/>
      <c r="O607" s="136"/>
      <c r="P607" s="136"/>
      <c r="Q607" s="136"/>
      <c r="R607" s="136"/>
      <c r="S607" s="136"/>
      <c r="T607" s="136"/>
      <c r="U607" s="136"/>
      <c r="V607" s="136"/>
      <c r="W607" s="136"/>
      <c r="X607" s="136"/>
      <c r="Y607" s="136"/>
      <c r="Z607" s="136"/>
      <c r="AA607" s="231"/>
    </row>
    <row r="608" spans="1:27" x14ac:dyDescent="0.2">
      <c r="A608" s="39"/>
      <c r="B608" s="39"/>
      <c r="C608" s="43"/>
      <c r="D608" s="43"/>
      <c r="E608" s="43"/>
      <c r="F608" s="132"/>
      <c r="G608" s="41" t="e">
        <f>VLOOKUP(F608,Pcode!A:B,2,FALSE)</f>
        <v>#N/A</v>
      </c>
      <c r="H608" s="41"/>
      <c r="I608" s="41" t="e">
        <f>VLOOKUP(H608,Pcode!C:D,2,FALSE)</f>
        <v>#N/A</v>
      </c>
      <c r="J608" s="41"/>
      <c r="K608" s="160"/>
      <c r="L608" s="160"/>
      <c r="M608" s="46"/>
      <c r="N608" s="136"/>
      <c r="O608" s="136"/>
      <c r="P608" s="136"/>
      <c r="Q608" s="136"/>
      <c r="R608" s="136"/>
      <c r="S608" s="136"/>
      <c r="T608" s="136"/>
      <c r="U608" s="136"/>
      <c r="V608" s="136"/>
      <c r="W608" s="136"/>
      <c r="X608" s="136"/>
      <c r="Y608" s="136"/>
      <c r="Z608" s="136"/>
      <c r="AA608" s="231"/>
    </row>
    <row r="609" spans="1:27" x14ac:dyDescent="0.2">
      <c r="A609" s="39"/>
      <c r="B609" s="39"/>
      <c r="C609" s="43"/>
      <c r="D609" s="43"/>
      <c r="E609" s="43"/>
      <c r="F609" s="132"/>
      <c r="G609" s="41" t="e">
        <f>VLOOKUP(F609,Pcode!A:B,2,FALSE)</f>
        <v>#N/A</v>
      </c>
      <c r="H609" s="41"/>
      <c r="I609" s="41" t="e">
        <f>VLOOKUP(H609,Pcode!C:D,2,FALSE)</f>
        <v>#N/A</v>
      </c>
      <c r="J609" s="41"/>
      <c r="K609" s="160"/>
      <c r="L609" s="160"/>
      <c r="M609" s="46"/>
      <c r="N609" s="136"/>
      <c r="O609" s="136"/>
      <c r="P609" s="136"/>
      <c r="Q609" s="136"/>
      <c r="R609" s="136"/>
      <c r="S609" s="136"/>
      <c r="T609" s="136"/>
      <c r="U609" s="136"/>
      <c r="V609" s="136"/>
      <c r="W609" s="136"/>
      <c r="X609" s="136"/>
      <c r="Y609" s="136"/>
      <c r="Z609" s="136"/>
      <c r="AA609" s="231"/>
    </row>
    <row r="610" spans="1:27" x14ac:dyDescent="0.2">
      <c r="A610" s="39"/>
      <c r="B610" s="39"/>
      <c r="C610" s="43"/>
      <c r="D610" s="43"/>
      <c r="E610" s="43"/>
      <c r="F610" s="132"/>
      <c r="G610" s="41" t="e">
        <f>VLOOKUP(F610,Pcode!A:B,2,FALSE)</f>
        <v>#N/A</v>
      </c>
      <c r="H610" s="41"/>
      <c r="I610" s="41" t="e">
        <f>VLOOKUP(H610,Pcode!C:D,2,FALSE)</f>
        <v>#N/A</v>
      </c>
      <c r="J610" s="41"/>
      <c r="K610" s="160"/>
      <c r="L610" s="160"/>
      <c r="M610" s="46"/>
      <c r="N610" s="136"/>
      <c r="O610" s="136"/>
      <c r="P610" s="136"/>
      <c r="Q610" s="136"/>
      <c r="R610" s="136"/>
      <c r="S610" s="136"/>
      <c r="T610" s="136"/>
      <c r="U610" s="136"/>
      <c r="V610" s="136"/>
      <c r="W610" s="136"/>
      <c r="X610" s="136"/>
      <c r="Y610" s="136"/>
      <c r="Z610" s="136"/>
      <c r="AA610" s="231"/>
    </row>
    <row r="611" spans="1:27" x14ac:dyDescent="0.2">
      <c r="A611" s="39"/>
      <c r="B611" s="39"/>
      <c r="C611" s="43"/>
      <c r="D611" s="43"/>
      <c r="E611" s="43"/>
      <c r="F611" s="132"/>
      <c r="G611" s="41" t="e">
        <f>VLOOKUP(F611,Pcode!A:B,2,FALSE)</f>
        <v>#N/A</v>
      </c>
      <c r="H611" s="41"/>
      <c r="I611" s="41" t="e">
        <f>VLOOKUP(H611,Pcode!C:D,2,FALSE)</f>
        <v>#N/A</v>
      </c>
      <c r="J611" s="41"/>
      <c r="K611" s="160"/>
      <c r="L611" s="160"/>
      <c r="M611" s="46"/>
      <c r="N611" s="136"/>
      <c r="O611" s="136"/>
      <c r="P611" s="136"/>
      <c r="Q611" s="136"/>
      <c r="R611" s="136"/>
      <c r="S611" s="136"/>
      <c r="T611" s="136"/>
      <c r="U611" s="136"/>
      <c r="V611" s="136"/>
      <c r="W611" s="136"/>
      <c r="X611" s="136"/>
      <c r="Y611" s="136"/>
      <c r="Z611" s="136"/>
      <c r="AA611" s="231"/>
    </row>
    <row r="612" spans="1:27" x14ac:dyDescent="0.2">
      <c r="A612" s="39"/>
      <c r="B612" s="39"/>
      <c r="C612" s="43"/>
      <c r="D612" s="43"/>
      <c r="E612" s="43"/>
      <c r="F612" s="132"/>
      <c r="G612" s="41" t="e">
        <f>VLOOKUP(F612,Pcode!A:B,2,FALSE)</f>
        <v>#N/A</v>
      </c>
      <c r="H612" s="41"/>
      <c r="I612" s="41" t="e">
        <f>VLOOKUP(H612,Pcode!C:D,2,FALSE)</f>
        <v>#N/A</v>
      </c>
      <c r="J612" s="41"/>
      <c r="K612" s="160"/>
      <c r="L612" s="160"/>
      <c r="M612" s="46"/>
      <c r="N612" s="136"/>
      <c r="O612" s="136"/>
      <c r="P612" s="136"/>
      <c r="Q612" s="136"/>
      <c r="R612" s="136"/>
      <c r="S612" s="136"/>
      <c r="T612" s="136"/>
      <c r="U612" s="136"/>
      <c r="V612" s="136"/>
      <c r="W612" s="136"/>
      <c r="X612" s="136"/>
      <c r="Y612" s="136"/>
      <c r="Z612" s="136"/>
      <c r="AA612" s="231"/>
    </row>
    <row r="613" spans="1:27" x14ac:dyDescent="0.2">
      <c r="A613" s="39"/>
      <c r="B613" s="39"/>
      <c r="C613" s="43"/>
      <c r="D613" s="43"/>
      <c r="E613" s="43"/>
      <c r="F613" s="132"/>
      <c r="G613" s="41" t="e">
        <f>VLOOKUP(F613,Pcode!A:B,2,FALSE)</f>
        <v>#N/A</v>
      </c>
      <c r="H613" s="41"/>
      <c r="I613" s="41" t="e">
        <f>VLOOKUP(H613,Pcode!C:D,2,FALSE)</f>
        <v>#N/A</v>
      </c>
      <c r="J613" s="41"/>
      <c r="K613" s="160"/>
      <c r="L613" s="160"/>
      <c r="M613" s="46"/>
      <c r="N613" s="136"/>
      <c r="O613" s="136"/>
      <c r="P613" s="136"/>
      <c r="Q613" s="136"/>
      <c r="R613" s="136"/>
      <c r="S613" s="136"/>
      <c r="T613" s="136"/>
      <c r="U613" s="136"/>
      <c r="V613" s="136"/>
      <c r="W613" s="136"/>
      <c r="X613" s="136"/>
      <c r="Y613" s="136"/>
      <c r="Z613" s="136"/>
      <c r="AA613" s="231"/>
    </row>
    <row r="614" spans="1:27" x14ac:dyDescent="0.2">
      <c r="A614" s="39"/>
      <c r="B614" s="39"/>
      <c r="C614" s="43"/>
      <c r="D614" s="43"/>
      <c r="E614" s="43"/>
      <c r="F614" s="132"/>
      <c r="G614" s="41" t="e">
        <f>VLOOKUP(F614,Pcode!A:B,2,FALSE)</f>
        <v>#N/A</v>
      </c>
      <c r="H614" s="41"/>
      <c r="I614" s="41" t="e">
        <f>VLOOKUP(H614,Pcode!C:D,2,FALSE)</f>
        <v>#N/A</v>
      </c>
      <c r="J614" s="41"/>
      <c r="K614" s="160"/>
      <c r="L614" s="160"/>
      <c r="M614" s="46"/>
      <c r="N614" s="136"/>
      <c r="O614" s="136"/>
      <c r="P614" s="136"/>
      <c r="Q614" s="136"/>
      <c r="R614" s="136"/>
      <c r="S614" s="136"/>
      <c r="T614" s="136"/>
      <c r="U614" s="136"/>
      <c r="V614" s="136"/>
      <c r="W614" s="136"/>
      <c r="X614" s="136"/>
      <c r="Y614" s="136"/>
      <c r="Z614" s="136"/>
      <c r="AA614" s="231"/>
    </row>
    <row r="615" spans="1:27" x14ac:dyDescent="0.2">
      <c r="A615" s="39"/>
      <c r="B615" s="39"/>
      <c r="C615" s="43"/>
      <c r="D615" s="43"/>
      <c r="E615" s="43"/>
      <c r="F615" s="132"/>
      <c r="G615" s="41" t="e">
        <f>VLOOKUP(F615,Pcode!A:B,2,FALSE)</f>
        <v>#N/A</v>
      </c>
      <c r="H615" s="41"/>
      <c r="I615" s="41" t="e">
        <f>VLOOKUP(H615,Pcode!C:D,2,FALSE)</f>
        <v>#N/A</v>
      </c>
      <c r="J615" s="41"/>
      <c r="K615" s="160"/>
      <c r="L615" s="160"/>
      <c r="M615" s="46"/>
      <c r="N615" s="136"/>
      <c r="O615" s="136"/>
      <c r="P615" s="136"/>
      <c r="Q615" s="136"/>
      <c r="R615" s="136"/>
      <c r="S615" s="136"/>
      <c r="T615" s="136"/>
      <c r="U615" s="136"/>
      <c r="V615" s="136"/>
      <c r="W615" s="136"/>
      <c r="X615" s="136"/>
      <c r="Y615" s="136"/>
      <c r="Z615" s="136"/>
      <c r="AA615" s="231"/>
    </row>
    <row r="616" spans="1:27" x14ac:dyDescent="0.2">
      <c r="A616" s="39"/>
      <c r="B616" s="39"/>
      <c r="C616" s="43"/>
      <c r="D616" s="43"/>
      <c r="E616" s="43"/>
      <c r="F616" s="132"/>
      <c r="G616" s="41" t="e">
        <f>VLOOKUP(F616,Pcode!A:B,2,FALSE)</f>
        <v>#N/A</v>
      </c>
      <c r="H616" s="41"/>
      <c r="I616" s="41" t="e">
        <f>VLOOKUP(H616,Pcode!C:D,2,FALSE)</f>
        <v>#N/A</v>
      </c>
      <c r="J616" s="41"/>
      <c r="K616" s="160"/>
      <c r="L616" s="160"/>
      <c r="M616" s="46"/>
      <c r="N616" s="136"/>
      <c r="O616" s="136"/>
      <c r="P616" s="136"/>
      <c r="Q616" s="136"/>
      <c r="R616" s="136"/>
      <c r="S616" s="136"/>
      <c r="T616" s="136"/>
      <c r="U616" s="136"/>
      <c r="V616" s="136"/>
      <c r="W616" s="136"/>
      <c r="X616" s="136"/>
      <c r="Y616" s="136"/>
      <c r="Z616" s="136"/>
      <c r="AA616" s="231"/>
    </row>
    <row r="617" spans="1:27" x14ac:dyDescent="0.2">
      <c r="A617" s="39"/>
      <c r="B617" s="39"/>
      <c r="C617" s="43"/>
      <c r="D617" s="43"/>
      <c r="E617" s="43"/>
      <c r="F617" s="132"/>
      <c r="G617" s="41" t="e">
        <f>VLOOKUP(F617,Pcode!A:B,2,FALSE)</f>
        <v>#N/A</v>
      </c>
      <c r="H617" s="41"/>
      <c r="I617" s="41" t="e">
        <f>VLOOKUP(H617,Pcode!C:D,2,FALSE)</f>
        <v>#N/A</v>
      </c>
      <c r="J617" s="41"/>
      <c r="K617" s="160"/>
      <c r="L617" s="160"/>
      <c r="M617" s="46"/>
      <c r="N617" s="136"/>
      <c r="O617" s="136"/>
      <c r="P617" s="136"/>
      <c r="Q617" s="136"/>
      <c r="R617" s="136"/>
      <c r="S617" s="136"/>
      <c r="T617" s="136"/>
      <c r="U617" s="136"/>
      <c r="V617" s="136"/>
      <c r="W617" s="136"/>
      <c r="X617" s="136"/>
      <c r="Y617" s="136"/>
      <c r="Z617" s="136"/>
      <c r="AA617" s="231"/>
    </row>
    <row r="618" spans="1:27" x14ac:dyDescent="0.2">
      <c r="A618" s="39"/>
      <c r="B618" s="39"/>
      <c r="C618" s="43"/>
      <c r="D618" s="43"/>
      <c r="E618" s="43"/>
      <c r="F618" s="132"/>
      <c r="G618" s="41" t="e">
        <f>VLOOKUP(F618,Pcode!A:B,2,FALSE)</f>
        <v>#N/A</v>
      </c>
      <c r="H618" s="41"/>
      <c r="I618" s="41" t="e">
        <f>VLOOKUP(H618,Pcode!C:D,2,FALSE)</f>
        <v>#N/A</v>
      </c>
      <c r="J618" s="41"/>
      <c r="K618" s="160"/>
      <c r="L618" s="160"/>
      <c r="M618" s="46"/>
      <c r="N618" s="136"/>
      <c r="O618" s="136"/>
      <c r="P618" s="136"/>
      <c r="Q618" s="136"/>
      <c r="R618" s="136"/>
      <c r="S618" s="136"/>
      <c r="T618" s="136"/>
      <c r="U618" s="136"/>
      <c r="V618" s="136"/>
      <c r="W618" s="136"/>
      <c r="X618" s="136"/>
      <c r="Y618" s="136"/>
      <c r="Z618" s="136"/>
      <c r="AA618" s="231"/>
    </row>
    <row r="619" spans="1:27" x14ac:dyDescent="0.2">
      <c r="A619" s="39"/>
      <c r="B619" s="39"/>
      <c r="C619" s="43"/>
      <c r="D619" s="43"/>
      <c r="E619" s="43"/>
      <c r="F619" s="132"/>
      <c r="G619" s="41" t="e">
        <f>VLOOKUP(F619,Pcode!A:B,2,FALSE)</f>
        <v>#N/A</v>
      </c>
      <c r="H619" s="41"/>
      <c r="I619" s="41" t="e">
        <f>VLOOKUP(H619,Pcode!C:D,2,FALSE)</f>
        <v>#N/A</v>
      </c>
      <c r="J619" s="41"/>
      <c r="K619" s="160"/>
      <c r="L619" s="160"/>
      <c r="M619" s="46"/>
      <c r="N619" s="136"/>
      <c r="O619" s="136"/>
      <c r="P619" s="136"/>
      <c r="Q619" s="136"/>
      <c r="R619" s="136"/>
      <c r="S619" s="136"/>
      <c r="T619" s="136"/>
      <c r="U619" s="136"/>
      <c r="V619" s="136"/>
      <c r="W619" s="136"/>
      <c r="X619" s="136"/>
      <c r="Y619" s="136"/>
      <c r="Z619" s="136"/>
      <c r="AA619" s="231"/>
    </row>
    <row r="620" spans="1:27" x14ac:dyDescent="0.2">
      <c r="A620" s="39"/>
      <c r="B620" s="39"/>
      <c r="C620" s="43"/>
      <c r="D620" s="43"/>
      <c r="E620" s="43"/>
      <c r="F620" s="132"/>
      <c r="G620" s="41" t="e">
        <f>VLOOKUP(F620,Pcode!A:B,2,FALSE)</f>
        <v>#N/A</v>
      </c>
      <c r="H620" s="41"/>
      <c r="I620" s="41" t="e">
        <f>VLOOKUP(H620,Pcode!C:D,2,FALSE)</f>
        <v>#N/A</v>
      </c>
      <c r="J620" s="41"/>
      <c r="K620" s="160"/>
      <c r="L620" s="160"/>
      <c r="M620" s="46"/>
      <c r="N620" s="136"/>
      <c r="O620" s="136"/>
      <c r="P620" s="136"/>
      <c r="Q620" s="136"/>
      <c r="R620" s="136"/>
      <c r="S620" s="136"/>
      <c r="T620" s="136"/>
      <c r="U620" s="136"/>
      <c r="V620" s="136"/>
      <c r="W620" s="136"/>
      <c r="X620" s="136"/>
      <c r="Y620" s="136"/>
      <c r="Z620" s="136"/>
      <c r="AA620" s="231"/>
    </row>
    <row r="621" spans="1:27" x14ac:dyDescent="0.2">
      <c r="A621" s="39"/>
      <c r="B621" s="39"/>
      <c r="C621" s="43"/>
      <c r="D621" s="43"/>
      <c r="E621" s="43"/>
      <c r="F621" s="132"/>
      <c r="G621" s="41" t="e">
        <f>VLOOKUP(F621,Pcode!A:B,2,FALSE)</f>
        <v>#N/A</v>
      </c>
      <c r="H621" s="41"/>
      <c r="I621" s="41" t="e">
        <f>VLOOKUP(H621,Pcode!C:D,2,FALSE)</f>
        <v>#N/A</v>
      </c>
      <c r="J621" s="41"/>
      <c r="K621" s="160"/>
      <c r="L621" s="160"/>
      <c r="M621" s="46"/>
      <c r="N621" s="136"/>
      <c r="O621" s="136"/>
      <c r="P621" s="136"/>
      <c r="Q621" s="136"/>
      <c r="R621" s="136"/>
      <c r="S621" s="136"/>
      <c r="T621" s="136"/>
      <c r="U621" s="136"/>
      <c r="V621" s="136"/>
      <c r="W621" s="136"/>
      <c r="X621" s="136"/>
      <c r="Y621" s="136"/>
      <c r="Z621" s="136"/>
      <c r="AA621" s="231"/>
    </row>
    <row r="622" spans="1:27" x14ac:dyDescent="0.2">
      <c r="A622" s="39"/>
      <c r="B622" s="39"/>
      <c r="C622" s="43"/>
      <c r="D622" s="43"/>
      <c r="E622" s="43"/>
      <c r="F622" s="132"/>
      <c r="G622" s="41" t="e">
        <f>VLOOKUP(F622,Pcode!A:B,2,FALSE)</f>
        <v>#N/A</v>
      </c>
      <c r="H622" s="41"/>
      <c r="I622" s="41" t="e">
        <f>VLOOKUP(H622,Pcode!C:D,2,FALSE)</f>
        <v>#N/A</v>
      </c>
      <c r="J622" s="41"/>
      <c r="K622" s="160"/>
      <c r="L622" s="160"/>
      <c r="M622" s="46"/>
      <c r="N622" s="136"/>
      <c r="O622" s="136"/>
      <c r="P622" s="136"/>
      <c r="Q622" s="136"/>
      <c r="R622" s="136"/>
      <c r="S622" s="136"/>
      <c r="T622" s="136"/>
      <c r="U622" s="136"/>
      <c r="V622" s="136"/>
      <c r="W622" s="136"/>
      <c r="X622" s="136"/>
      <c r="Y622" s="136"/>
      <c r="Z622" s="136"/>
      <c r="AA622" s="231"/>
    </row>
    <row r="623" spans="1:27" x14ac:dyDescent="0.2">
      <c r="A623" s="39"/>
      <c r="B623" s="39"/>
      <c r="C623" s="43"/>
      <c r="D623" s="43"/>
      <c r="E623" s="43"/>
      <c r="F623" s="132"/>
      <c r="G623" s="41" t="e">
        <f>VLOOKUP(F623,Pcode!A:B,2,FALSE)</f>
        <v>#N/A</v>
      </c>
      <c r="H623" s="41"/>
      <c r="I623" s="41" t="e">
        <f>VLOOKUP(H623,Pcode!C:D,2,FALSE)</f>
        <v>#N/A</v>
      </c>
      <c r="J623" s="41"/>
      <c r="K623" s="160"/>
      <c r="L623" s="160"/>
      <c r="M623" s="46"/>
      <c r="N623" s="136"/>
      <c r="O623" s="136"/>
      <c r="P623" s="136"/>
      <c r="Q623" s="136"/>
      <c r="R623" s="136"/>
      <c r="S623" s="136"/>
      <c r="T623" s="136"/>
      <c r="U623" s="136"/>
      <c r="V623" s="136"/>
      <c r="W623" s="136"/>
      <c r="X623" s="136"/>
      <c r="Y623" s="136"/>
      <c r="Z623" s="136"/>
      <c r="AA623" s="231"/>
    </row>
    <row r="624" spans="1:27" x14ac:dyDescent="0.2">
      <c r="A624" s="39"/>
      <c r="B624" s="39"/>
      <c r="C624" s="43"/>
      <c r="D624" s="43"/>
      <c r="E624" s="43"/>
      <c r="F624" s="132"/>
      <c r="G624" s="41" t="e">
        <f>VLOOKUP(F624,Pcode!A:B,2,FALSE)</f>
        <v>#N/A</v>
      </c>
      <c r="H624" s="41"/>
      <c r="I624" s="41" t="e">
        <f>VLOOKUP(H624,Pcode!C:D,2,FALSE)</f>
        <v>#N/A</v>
      </c>
      <c r="J624" s="41"/>
      <c r="K624" s="160"/>
      <c r="L624" s="160"/>
      <c r="M624" s="46"/>
      <c r="N624" s="136"/>
      <c r="O624" s="136"/>
      <c r="P624" s="136"/>
      <c r="Q624" s="136"/>
      <c r="R624" s="136"/>
      <c r="S624" s="136"/>
      <c r="T624" s="136"/>
      <c r="U624" s="136"/>
      <c r="V624" s="136"/>
      <c r="W624" s="136"/>
      <c r="X624" s="136"/>
      <c r="Y624" s="136"/>
      <c r="Z624" s="136"/>
      <c r="AA624" s="231"/>
    </row>
    <row r="625" spans="1:27" x14ac:dyDescent="0.2">
      <c r="A625" s="39"/>
      <c r="B625" s="39"/>
      <c r="C625" s="43"/>
      <c r="D625" s="43"/>
      <c r="E625" s="43"/>
      <c r="F625" s="132"/>
      <c r="G625" s="41" t="e">
        <f>VLOOKUP(F625,Pcode!A:B,2,FALSE)</f>
        <v>#N/A</v>
      </c>
      <c r="H625" s="41"/>
      <c r="I625" s="41" t="e">
        <f>VLOOKUP(H625,Pcode!C:D,2,FALSE)</f>
        <v>#N/A</v>
      </c>
      <c r="J625" s="41"/>
      <c r="K625" s="160"/>
      <c r="L625" s="160"/>
      <c r="M625" s="46"/>
      <c r="N625" s="136"/>
      <c r="O625" s="136"/>
      <c r="P625" s="136"/>
      <c r="Q625" s="136"/>
      <c r="R625" s="136"/>
      <c r="S625" s="136"/>
      <c r="T625" s="136"/>
      <c r="U625" s="136"/>
      <c r="V625" s="136"/>
      <c r="W625" s="136"/>
      <c r="X625" s="136"/>
      <c r="Y625" s="136"/>
      <c r="Z625" s="136"/>
      <c r="AA625" s="231"/>
    </row>
    <row r="626" spans="1:27" x14ac:dyDescent="0.2">
      <c r="A626" s="39"/>
      <c r="B626" s="39"/>
      <c r="C626" s="43"/>
      <c r="D626" s="43"/>
      <c r="E626" s="43"/>
      <c r="F626" s="132"/>
      <c r="G626" s="41" t="e">
        <f>VLOOKUP(F626,Pcode!A:B,2,FALSE)</f>
        <v>#N/A</v>
      </c>
      <c r="H626" s="41"/>
      <c r="I626" s="41" t="e">
        <f>VLOOKUP(H626,Pcode!C:D,2,FALSE)</f>
        <v>#N/A</v>
      </c>
      <c r="J626" s="41"/>
      <c r="K626" s="160"/>
      <c r="L626" s="160"/>
      <c r="M626" s="46"/>
      <c r="N626" s="136"/>
      <c r="O626" s="136"/>
      <c r="P626" s="136"/>
      <c r="Q626" s="136"/>
      <c r="R626" s="136"/>
      <c r="S626" s="136"/>
      <c r="T626" s="136"/>
      <c r="U626" s="136"/>
      <c r="V626" s="136"/>
      <c r="W626" s="136"/>
      <c r="X626" s="136"/>
      <c r="Y626" s="136"/>
      <c r="Z626" s="136"/>
      <c r="AA626" s="231"/>
    </row>
    <row r="627" spans="1:27" x14ac:dyDescent="0.2">
      <c r="A627" s="39"/>
      <c r="B627" s="39"/>
      <c r="C627" s="43"/>
      <c r="D627" s="43"/>
      <c r="E627" s="43"/>
      <c r="F627" s="132"/>
      <c r="G627" s="41" t="e">
        <f>VLOOKUP(F627,Pcode!A:B,2,FALSE)</f>
        <v>#N/A</v>
      </c>
      <c r="H627" s="41"/>
      <c r="I627" s="41" t="e">
        <f>VLOOKUP(H627,Pcode!C:D,2,FALSE)</f>
        <v>#N/A</v>
      </c>
      <c r="J627" s="41"/>
      <c r="K627" s="160"/>
      <c r="L627" s="160"/>
      <c r="M627" s="46"/>
      <c r="N627" s="136"/>
      <c r="O627" s="136"/>
      <c r="P627" s="136"/>
      <c r="Q627" s="136"/>
      <c r="R627" s="136"/>
      <c r="S627" s="136"/>
      <c r="T627" s="136"/>
      <c r="U627" s="136"/>
      <c r="V627" s="136"/>
      <c r="W627" s="136"/>
      <c r="X627" s="136"/>
      <c r="Y627" s="136"/>
      <c r="Z627" s="136"/>
      <c r="AA627" s="231"/>
    </row>
    <row r="628" spans="1:27" x14ac:dyDescent="0.2">
      <c r="A628" s="39"/>
      <c r="B628" s="39"/>
      <c r="C628" s="43"/>
      <c r="D628" s="43"/>
      <c r="E628" s="43"/>
      <c r="F628" s="132"/>
      <c r="G628" s="41" t="e">
        <f>VLOOKUP(F628,Pcode!A:B,2,FALSE)</f>
        <v>#N/A</v>
      </c>
      <c r="H628" s="41"/>
      <c r="I628" s="41" t="e">
        <f>VLOOKUP(H628,Pcode!C:D,2,FALSE)</f>
        <v>#N/A</v>
      </c>
      <c r="J628" s="41"/>
      <c r="K628" s="160"/>
      <c r="L628" s="160"/>
      <c r="M628" s="46"/>
      <c r="N628" s="136"/>
      <c r="O628" s="136"/>
      <c r="P628" s="136"/>
      <c r="Q628" s="136"/>
      <c r="R628" s="136"/>
      <c r="S628" s="136"/>
      <c r="T628" s="136"/>
      <c r="U628" s="136"/>
      <c r="V628" s="136"/>
      <c r="W628" s="136"/>
      <c r="X628" s="136"/>
      <c r="Y628" s="136"/>
      <c r="Z628" s="136"/>
      <c r="AA628" s="231"/>
    </row>
    <row r="629" spans="1:27" x14ac:dyDescent="0.2">
      <c r="A629" s="39"/>
      <c r="B629" s="39"/>
      <c r="C629" s="43"/>
      <c r="D629" s="43"/>
      <c r="E629" s="43"/>
      <c r="F629" s="132"/>
      <c r="G629" s="41" t="e">
        <f>VLOOKUP(F629,Pcode!A:B,2,FALSE)</f>
        <v>#N/A</v>
      </c>
      <c r="H629" s="41"/>
      <c r="I629" s="41" t="e">
        <f>VLOOKUP(H629,Pcode!C:D,2,FALSE)</f>
        <v>#N/A</v>
      </c>
      <c r="J629" s="41"/>
      <c r="K629" s="160"/>
      <c r="L629" s="160"/>
      <c r="M629" s="46"/>
      <c r="N629" s="136"/>
      <c r="O629" s="136"/>
      <c r="P629" s="136"/>
      <c r="Q629" s="136"/>
      <c r="R629" s="136"/>
      <c r="S629" s="136"/>
      <c r="T629" s="136"/>
      <c r="U629" s="136"/>
      <c r="V629" s="136"/>
      <c r="W629" s="136"/>
      <c r="X629" s="136"/>
      <c r="Y629" s="136"/>
      <c r="Z629" s="136"/>
      <c r="AA629" s="231"/>
    </row>
    <row r="630" spans="1:27" x14ac:dyDescent="0.2">
      <c r="A630" s="39"/>
      <c r="B630" s="39"/>
      <c r="C630" s="43"/>
      <c r="D630" s="43"/>
      <c r="E630" s="43"/>
      <c r="F630" s="132"/>
      <c r="G630" s="41" t="e">
        <f>VLOOKUP(F630,Pcode!A:B,2,FALSE)</f>
        <v>#N/A</v>
      </c>
      <c r="H630" s="41"/>
      <c r="I630" s="41" t="e">
        <f>VLOOKUP(H630,Pcode!C:D,2,FALSE)</f>
        <v>#N/A</v>
      </c>
      <c r="J630" s="41"/>
      <c r="K630" s="160"/>
      <c r="L630" s="160"/>
      <c r="M630" s="46"/>
      <c r="N630" s="136"/>
      <c r="O630" s="136"/>
      <c r="P630" s="136"/>
      <c r="Q630" s="136"/>
      <c r="R630" s="136"/>
      <c r="S630" s="136"/>
      <c r="T630" s="136"/>
      <c r="U630" s="136"/>
      <c r="V630" s="136"/>
      <c r="W630" s="136"/>
      <c r="X630" s="136"/>
      <c r="Y630" s="136"/>
      <c r="Z630" s="136"/>
      <c r="AA630" s="231"/>
    </row>
    <row r="631" spans="1:27" x14ac:dyDescent="0.2">
      <c r="A631" s="39"/>
      <c r="B631" s="39"/>
      <c r="C631" s="43"/>
      <c r="D631" s="43"/>
      <c r="E631" s="43"/>
      <c r="F631" s="132"/>
      <c r="G631" s="41" t="e">
        <f>VLOOKUP(F631,Pcode!A:B,2,FALSE)</f>
        <v>#N/A</v>
      </c>
      <c r="H631" s="41"/>
      <c r="I631" s="41" t="e">
        <f>VLOOKUP(H631,Pcode!C:D,2,FALSE)</f>
        <v>#N/A</v>
      </c>
      <c r="J631" s="41"/>
      <c r="K631" s="160"/>
      <c r="L631" s="160"/>
      <c r="M631" s="46"/>
      <c r="N631" s="136"/>
      <c r="O631" s="136"/>
      <c r="P631" s="136"/>
      <c r="Q631" s="136"/>
      <c r="R631" s="136"/>
      <c r="S631" s="136"/>
      <c r="T631" s="136"/>
      <c r="U631" s="136"/>
      <c r="V631" s="136"/>
      <c r="W631" s="136"/>
      <c r="X631" s="136"/>
      <c r="Y631" s="136"/>
      <c r="Z631" s="136"/>
      <c r="AA631" s="231"/>
    </row>
    <row r="632" spans="1:27" x14ac:dyDescent="0.2">
      <c r="A632" s="39"/>
      <c r="B632" s="39"/>
      <c r="C632" s="43"/>
      <c r="D632" s="43"/>
      <c r="E632" s="43"/>
      <c r="F632" s="132"/>
      <c r="G632" s="41" t="e">
        <f>VLOOKUP(F632,Pcode!A:B,2,FALSE)</f>
        <v>#N/A</v>
      </c>
      <c r="H632" s="41"/>
      <c r="I632" s="41" t="e">
        <f>VLOOKUP(H632,Pcode!C:D,2,FALSE)</f>
        <v>#N/A</v>
      </c>
      <c r="J632" s="41"/>
      <c r="K632" s="160"/>
      <c r="L632" s="160"/>
      <c r="M632" s="46"/>
      <c r="N632" s="136"/>
      <c r="O632" s="136"/>
      <c r="P632" s="136"/>
      <c r="Q632" s="136"/>
      <c r="R632" s="136"/>
      <c r="S632" s="136"/>
      <c r="T632" s="136"/>
      <c r="U632" s="136"/>
      <c r="V632" s="136"/>
      <c r="W632" s="136"/>
      <c r="X632" s="136"/>
      <c r="Y632" s="136"/>
      <c r="Z632" s="136"/>
      <c r="AA632" s="231"/>
    </row>
    <row r="633" spans="1:27" x14ac:dyDescent="0.2">
      <c r="A633" s="39"/>
      <c r="B633" s="39"/>
      <c r="C633" s="43"/>
      <c r="D633" s="43"/>
      <c r="E633" s="43"/>
      <c r="F633" s="132"/>
      <c r="G633" s="41" t="e">
        <f>VLOOKUP(F633,Pcode!A:B,2,FALSE)</f>
        <v>#N/A</v>
      </c>
      <c r="H633" s="41"/>
      <c r="I633" s="41" t="e">
        <f>VLOOKUP(H633,Pcode!C:D,2,FALSE)</f>
        <v>#N/A</v>
      </c>
      <c r="J633" s="41"/>
      <c r="K633" s="160"/>
      <c r="L633" s="160"/>
      <c r="M633" s="46"/>
      <c r="N633" s="136"/>
      <c r="O633" s="136"/>
      <c r="P633" s="136"/>
      <c r="Q633" s="136"/>
      <c r="R633" s="136"/>
      <c r="S633" s="136"/>
      <c r="T633" s="136"/>
      <c r="U633" s="136"/>
      <c r="V633" s="136"/>
      <c r="W633" s="136"/>
      <c r="X633" s="136"/>
      <c r="Y633" s="136"/>
      <c r="Z633" s="136"/>
      <c r="AA633" s="231"/>
    </row>
    <row r="634" spans="1:27" x14ac:dyDescent="0.2">
      <c r="A634" s="39"/>
      <c r="B634" s="39"/>
      <c r="C634" s="43"/>
      <c r="D634" s="43"/>
      <c r="E634" s="43"/>
      <c r="F634" s="132"/>
      <c r="G634" s="41" t="e">
        <f>VLOOKUP(F634,Pcode!A:B,2,FALSE)</f>
        <v>#N/A</v>
      </c>
      <c r="H634" s="41"/>
      <c r="I634" s="41" t="e">
        <f>VLOOKUP(H634,Pcode!C:D,2,FALSE)</f>
        <v>#N/A</v>
      </c>
      <c r="J634" s="41"/>
      <c r="K634" s="160"/>
      <c r="L634" s="160"/>
      <c r="M634" s="46"/>
      <c r="N634" s="136"/>
      <c r="O634" s="136"/>
      <c r="P634" s="136"/>
      <c r="Q634" s="136"/>
      <c r="R634" s="136"/>
      <c r="S634" s="136"/>
      <c r="T634" s="136"/>
      <c r="U634" s="136"/>
      <c r="V634" s="136"/>
      <c r="W634" s="136"/>
      <c r="X634" s="136"/>
      <c r="Y634" s="136"/>
      <c r="Z634" s="136"/>
      <c r="AA634" s="231"/>
    </row>
    <row r="635" spans="1:27" x14ac:dyDescent="0.2">
      <c r="A635" s="39"/>
      <c r="B635" s="39"/>
      <c r="C635" s="43"/>
      <c r="D635" s="43"/>
      <c r="E635" s="43"/>
      <c r="F635" s="132"/>
      <c r="G635" s="41" t="e">
        <f>VLOOKUP(F635,Pcode!A:B,2,FALSE)</f>
        <v>#N/A</v>
      </c>
      <c r="H635" s="41"/>
      <c r="I635" s="41" t="e">
        <f>VLOOKUP(H635,Pcode!C:D,2,FALSE)</f>
        <v>#N/A</v>
      </c>
      <c r="J635" s="41"/>
      <c r="K635" s="160"/>
      <c r="L635" s="160"/>
      <c r="M635" s="46"/>
      <c r="N635" s="136"/>
      <c r="O635" s="136"/>
      <c r="P635" s="136"/>
      <c r="Q635" s="136"/>
      <c r="R635" s="136"/>
      <c r="S635" s="136"/>
      <c r="T635" s="136"/>
      <c r="U635" s="136"/>
      <c r="V635" s="136"/>
      <c r="W635" s="136"/>
      <c r="X635" s="136"/>
      <c r="Y635" s="136"/>
      <c r="Z635" s="136"/>
      <c r="AA635" s="231"/>
    </row>
    <row r="636" spans="1:27" x14ac:dyDescent="0.2">
      <c r="A636" s="39"/>
      <c r="B636" s="39"/>
      <c r="C636" s="43"/>
      <c r="D636" s="43"/>
      <c r="E636" s="43"/>
      <c r="F636" s="132"/>
      <c r="G636" s="41" t="e">
        <f>VLOOKUP(F636,Pcode!A:B,2,FALSE)</f>
        <v>#N/A</v>
      </c>
      <c r="H636" s="41"/>
      <c r="I636" s="41" t="e">
        <f>VLOOKUP(H636,Pcode!C:D,2,FALSE)</f>
        <v>#N/A</v>
      </c>
      <c r="J636" s="41"/>
      <c r="K636" s="160"/>
      <c r="L636" s="160"/>
      <c r="M636" s="46"/>
      <c r="N636" s="136"/>
      <c r="O636" s="136"/>
      <c r="P636" s="136"/>
      <c r="Q636" s="136"/>
      <c r="R636" s="136"/>
      <c r="S636" s="136"/>
      <c r="T636" s="136"/>
      <c r="U636" s="136"/>
      <c r="V636" s="136"/>
      <c r="W636" s="136"/>
      <c r="X636" s="136"/>
      <c r="Y636" s="136"/>
      <c r="Z636" s="136"/>
      <c r="AA636" s="231"/>
    </row>
    <row r="637" spans="1:27" x14ac:dyDescent="0.2">
      <c r="A637" s="39"/>
      <c r="B637" s="39"/>
      <c r="C637" s="43"/>
      <c r="D637" s="43"/>
      <c r="E637" s="43"/>
      <c r="F637" s="132"/>
      <c r="G637" s="41" t="e">
        <f>VLOOKUP(F637,Pcode!A:B,2,FALSE)</f>
        <v>#N/A</v>
      </c>
      <c r="H637" s="41"/>
      <c r="I637" s="41" t="e">
        <f>VLOOKUP(H637,Pcode!C:D,2,FALSE)</f>
        <v>#N/A</v>
      </c>
      <c r="J637" s="41"/>
      <c r="K637" s="160"/>
      <c r="L637" s="160"/>
      <c r="M637" s="46"/>
      <c r="N637" s="136"/>
      <c r="O637" s="136"/>
      <c r="P637" s="136"/>
      <c r="Q637" s="136"/>
      <c r="R637" s="136"/>
      <c r="S637" s="136"/>
      <c r="T637" s="136"/>
      <c r="U637" s="136"/>
      <c r="V637" s="136"/>
      <c r="W637" s="136"/>
      <c r="X637" s="136"/>
      <c r="Y637" s="136"/>
      <c r="Z637" s="136"/>
      <c r="AA637" s="231"/>
    </row>
    <row r="638" spans="1:27" x14ac:dyDescent="0.2">
      <c r="A638" s="39"/>
      <c r="B638" s="39"/>
      <c r="C638" s="43"/>
      <c r="D638" s="43"/>
      <c r="E638" s="43"/>
      <c r="F638" s="132"/>
      <c r="G638" s="41" t="e">
        <f>VLOOKUP(F638,Pcode!A:B,2,FALSE)</f>
        <v>#N/A</v>
      </c>
      <c r="H638" s="41"/>
      <c r="I638" s="41" t="e">
        <f>VLOOKUP(H638,Pcode!C:D,2,FALSE)</f>
        <v>#N/A</v>
      </c>
      <c r="J638" s="41"/>
      <c r="K638" s="160"/>
      <c r="L638" s="160"/>
      <c r="M638" s="46"/>
      <c r="N638" s="136"/>
      <c r="O638" s="136"/>
      <c r="P638" s="136"/>
      <c r="Q638" s="136"/>
      <c r="R638" s="136"/>
      <c r="S638" s="136"/>
      <c r="T638" s="136"/>
      <c r="U638" s="136"/>
      <c r="V638" s="136"/>
      <c r="W638" s="136"/>
      <c r="X638" s="136"/>
      <c r="Y638" s="136"/>
      <c r="Z638" s="136"/>
      <c r="AA638" s="231"/>
    </row>
    <row r="639" spans="1:27" x14ac:dyDescent="0.2">
      <c r="A639" s="39"/>
      <c r="B639" s="39"/>
      <c r="C639" s="43"/>
      <c r="D639" s="43"/>
      <c r="E639" s="43"/>
      <c r="F639" s="132"/>
      <c r="G639" s="41" t="e">
        <f>VLOOKUP(F639,Pcode!A:B,2,FALSE)</f>
        <v>#N/A</v>
      </c>
      <c r="H639" s="41"/>
      <c r="I639" s="41" t="e">
        <f>VLOOKUP(H639,Pcode!C:D,2,FALSE)</f>
        <v>#N/A</v>
      </c>
      <c r="J639" s="41"/>
      <c r="K639" s="160"/>
      <c r="L639" s="160"/>
      <c r="M639" s="46"/>
      <c r="N639" s="136"/>
      <c r="O639" s="136"/>
      <c r="P639" s="136"/>
      <c r="Q639" s="136"/>
      <c r="R639" s="136"/>
      <c r="S639" s="136"/>
      <c r="T639" s="136"/>
      <c r="U639" s="136"/>
      <c r="V639" s="136"/>
      <c r="W639" s="136"/>
      <c r="X639" s="136"/>
      <c r="Y639" s="136"/>
      <c r="Z639" s="136"/>
      <c r="AA639" s="231"/>
    </row>
    <row r="640" spans="1:27" x14ac:dyDescent="0.2">
      <c r="A640" s="39"/>
      <c r="B640" s="39"/>
      <c r="C640" s="43"/>
      <c r="D640" s="43"/>
      <c r="E640" s="43"/>
      <c r="F640" s="132"/>
      <c r="G640" s="41" t="e">
        <f>VLOOKUP(F640,Pcode!A:B,2,FALSE)</f>
        <v>#N/A</v>
      </c>
      <c r="H640" s="41"/>
      <c r="I640" s="41" t="e">
        <f>VLOOKUP(H640,Pcode!C:D,2,FALSE)</f>
        <v>#N/A</v>
      </c>
      <c r="J640" s="41"/>
      <c r="K640" s="160"/>
      <c r="L640" s="160"/>
      <c r="M640" s="46"/>
      <c r="N640" s="136"/>
      <c r="O640" s="136"/>
      <c r="P640" s="136"/>
      <c r="Q640" s="136"/>
      <c r="R640" s="136"/>
      <c r="S640" s="136"/>
      <c r="T640" s="136"/>
      <c r="U640" s="136"/>
      <c r="V640" s="136"/>
      <c r="W640" s="136"/>
      <c r="X640" s="136"/>
      <c r="Y640" s="136"/>
      <c r="Z640" s="136"/>
      <c r="AA640" s="231"/>
    </row>
    <row r="641" spans="1:27" x14ac:dyDescent="0.2">
      <c r="A641" s="39"/>
      <c r="B641" s="39"/>
      <c r="C641" s="43"/>
      <c r="D641" s="43"/>
      <c r="E641" s="43"/>
      <c r="F641" s="132"/>
      <c r="G641" s="41" t="e">
        <f>VLOOKUP(F641,Pcode!A:B,2,FALSE)</f>
        <v>#N/A</v>
      </c>
      <c r="H641" s="41"/>
      <c r="I641" s="41" t="e">
        <f>VLOOKUP(H641,Pcode!C:D,2,FALSE)</f>
        <v>#N/A</v>
      </c>
      <c r="J641" s="41"/>
      <c r="K641" s="160"/>
      <c r="L641" s="160"/>
      <c r="M641" s="46"/>
      <c r="N641" s="136"/>
      <c r="O641" s="136"/>
      <c r="P641" s="136"/>
      <c r="Q641" s="136"/>
      <c r="R641" s="136"/>
      <c r="S641" s="136"/>
      <c r="T641" s="136"/>
      <c r="U641" s="136"/>
      <c r="V641" s="136"/>
      <c r="W641" s="136"/>
      <c r="X641" s="136"/>
      <c r="Y641" s="136"/>
      <c r="Z641" s="136"/>
      <c r="AA641" s="231"/>
    </row>
    <row r="642" spans="1:27" x14ac:dyDescent="0.2">
      <c r="A642" s="39"/>
      <c r="B642" s="39"/>
      <c r="C642" s="43"/>
      <c r="D642" s="43"/>
      <c r="E642" s="43"/>
      <c r="F642" s="132"/>
      <c r="G642" s="41" t="e">
        <f>VLOOKUP(F642,Pcode!A:B,2,FALSE)</f>
        <v>#N/A</v>
      </c>
      <c r="H642" s="41"/>
      <c r="I642" s="41" t="e">
        <f>VLOOKUP(H642,Pcode!C:D,2,FALSE)</f>
        <v>#N/A</v>
      </c>
      <c r="J642" s="41"/>
      <c r="K642" s="160"/>
      <c r="L642" s="160"/>
      <c r="M642" s="46"/>
      <c r="N642" s="136"/>
      <c r="O642" s="136"/>
      <c r="P642" s="136"/>
      <c r="Q642" s="136"/>
      <c r="R642" s="136"/>
      <c r="S642" s="136"/>
      <c r="T642" s="136"/>
      <c r="U642" s="136"/>
      <c r="V642" s="136"/>
      <c r="W642" s="136"/>
      <c r="X642" s="136"/>
      <c r="Y642" s="136"/>
      <c r="Z642" s="136"/>
      <c r="AA642" s="231"/>
    </row>
    <row r="643" spans="1:27" x14ac:dyDescent="0.2">
      <c r="A643" s="39"/>
      <c r="B643" s="39"/>
      <c r="C643" s="43"/>
      <c r="D643" s="43"/>
      <c r="E643" s="43"/>
      <c r="F643" s="132"/>
      <c r="G643" s="41" t="e">
        <f>VLOOKUP(F643,Pcode!A:B,2,FALSE)</f>
        <v>#N/A</v>
      </c>
      <c r="H643" s="41"/>
      <c r="I643" s="41" t="e">
        <f>VLOOKUP(H643,Pcode!C:D,2,FALSE)</f>
        <v>#N/A</v>
      </c>
      <c r="J643" s="41"/>
      <c r="K643" s="160"/>
      <c r="L643" s="160"/>
      <c r="M643" s="46"/>
      <c r="N643" s="136"/>
      <c r="O643" s="136"/>
      <c r="P643" s="136"/>
      <c r="Q643" s="136"/>
      <c r="R643" s="136"/>
      <c r="S643" s="136"/>
      <c r="T643" s="136"/>
      <c r="U643" s="136"/>
      <c r="V643" s="136"/>
      <c r="W643" s="136"/>
      <c r="X643" s="136"/>
      <c r="Y643" s="136"/>
      <c r="Z643" s="136"/>
      <c r="AA643" s="231"/>
    </row>
    <row r="644" spans="1:27" x14ac:dyDescent="0.2">
      <c r="A644" s="39"/>
      <c r="B644" s="39"/>
      <c r="C644" s="43"/>
      <c r="D644" s="43"/>
      <c r="E644" s="43"/>
      <c r="F644" s="132"/>
      <c r="G644" s="41" t="e">
        <f>VLOOKUP(F644,Pcode!A:B,2,FALSE)</f>
        <v>#N/A</v>
      </c>
      <c r="H644" s="41"/>
      <c r="I644" s="41" t="e">
        <f>VLOOKUP(H644,Pcode!C:D,2,FALSE)</f>
        <v>#N/A</v>
      </c>
      <c r="J644" s="41"/>
      <c r="K644" s="160"/>
      <c r="L644" s="160"/>
      <c r="M644" s="46"/>
      <c r="N644" s="136"/>
      <c r="O644" s="136"/>
      <c r="P644" s="136"/>
      <c r="Q644" s="136"/>
      <c r="R644" s="136"/>
      <c r="S644" s="136"/>
      <c r="T644" s="136"/>
      <c r="U644" s="136"/>
      <c r="V644" s="136"/>
      <c r="W644" s="136"/>
      <c r="X644" s="136"/>
      <c r="Y644" s="136"/>
      <c r="Z644" s="136"/>
      <c r="AA644" s="231"/>
    </row>
    <row r="645" spans="1:27" x14ac:dyDescent="0.2">
      <c r="A645" s="39"/>
      <c r="B645" s="39"/>
      <c r="C645" s="43"/>
      <c r="D645" s="43"/>
      <c r="E645" s="43"/>
      <c r="F645" s="132"/>
      <c r="G645" s="41" t="e">
        <f>VLOOKUP(F645,Pcode!A:B,2,FALSE)</f>
        <v>#N/A</v>
      </c>
      <c r="H645" s="41"/>
      <c r="I645" s="41" t="e">
        <f>VLOOKUP(H645,Pcode!C:D,2,FALSE)</f>
        <v>#N/A</v>
      </c>
      <c r="J645" s="41"/>
      <c r="K645" s="160"/>
      <c r="L645" s="160"/>
      <c r="M645" s="46"/>
      <c r="N645" s="136"/>
      <c r="O645" s="136"/>
      <c r="P645" s="136"/>
      <c r="Q645" s="136"/>
      <c r="R645" s="136"/>
      <c r="S645" s="136"/>
      <c r="T645" s="136"/>
      <c r="U645" s="136"/>
      <c r="V645" s="136"/>
      <c r="W645" s="136"/>
      <c r="X645" s="136"/>
      <c r="Y645" s="136"/>
      <c r="Z645" s="136"/>
      <c r="AA645" s="231"/>
    </row>
    <row r="646" spans="1:27" x14ac:dyDescent="0.2">
      <c r="A646" s="39"/>
      <c r="B646" s="39"/>
      <c r="C646" s="43"/>
      <c r="D646" s="43"/>
      <c r="E646" s="43"/>
      <c r="F646" s="132"/>
      <c r="G646" s="41" t="e">
        <f>VLOOKUP(F646,Pcode!A:B,2,FALSE)</f>
        <v>#N/A</v>
      </c>
      <c r="H646" s="41"/>
      <c r="I646" s="41" t="e">
        <f>VLOOKUP(H646,Pcode!C:D,2,FALSE)</f>
        <v>#N/A</v>
      </c>
      <c r="J646" s="41"/>
      <c r="K646" s="160"/>
      <c r="L646" s="160"/>
      <c r="M646" s="46"/>
      <c r="N646" s="136"/>
      <c r="O646" s="136"/>
      <c r="P646" s="136"/>
      <c r="Q646" s="136"/>
      <c r="R646" s="136"/>
      <c r="S646" s="136"/>
      <c r="T646" s="136"/>
      <c r="U646" s="136"/>
      <c r="V646" s="136"/>
      <c r="W646" s="136"/>
      <c r="X646" s="136"/>
      <c r="Y646" s="136"/>
      <c r="Z646" s="136"/>
      <c r="AA646" s="231"/>
    </row>
    <row r="647" spans="1:27" x14ac:dyDescent="0.2">
      <c r="A647" s="39"/>
      <c r="B647" s="39"/>
      <c r="C647" s="43"/>
      <c r="D647" s="43"/>
      <c r="E647" s="43"/>
      <c r="F647" s="132"/>
      <c r="G647" s="41" t="e">
        <f>VLOOKUP(F647,Pcode!A:B,2,FALSE)</f>
        <v>#N/A</v>
      </c>
      <c r="H647" s="41"/>
      <c r="I647" s="41" t="e">
        <f>VLOOKUP(H647,Pcode!C:D,2,FALSE)</f>
        <v>#N/A</v>
      </c>
      <c r="J647" s="41"/>
      <c r="K647" s="160"/>
      <c r="L647" s="160"/>
      <c r="M647" s="46"/>
      <c r="N647" s="136"/>
      <c r="O647" s="136"/>
      <c r="P647" s="136"/>
      <c r="Q647" s="136"/>
      <c r="R647" s="136"/>
      <c r="S647" s="136"/>
      <c r="T647" s="136"/>
      <c r="U647" s="136"/>
      <c r="V647" s="136"/>
      <c r="W647" s="136"/>
      <c r="X647" s="136"/>
      <c r="Y647" s="136"/>
      <c r="Z647" s="136"/>
      <c r="AA647" s="231"/>
    </row>
    <row r="648" spans="1:27" x14ac:dyDescent="0.2">
      <c r="A648" s="39"/>
      <c r="B648" s="39"/>
      <c r="C648" s="43"/>
      <c r="D648" s="43"/>
      <c r="E648" s="43"/>
      <c r="F648" s="132"/>
      <c r="G648" s="41" t="e">
        <f>VLOOKUP(F648,Pcode!A:B,2,FALSE)</f>
        <v>#N/A</v>
      </c>
      <c r="H648" s="41"/>
      <c r="I648" s="41" t="e">
        <f>VLOOKUP(H648,Pcode!C:D,2,FALSE)</f>
        <v>#N/A</v>
      </c>
      <c r="J648" s="41"/>
      <c r="K648" s="160"/>
      <c r="L648" s="160"/>
      <c r="M648" s="46"/>
      <c r="N648" s="136"/>
      <c r="O648" s="136"/>
      <c r="P648" s="136"/>
      <c r="Q648" s="136"/>
      <c r="R648" s="136"/>
      <c r="S648" s="136"/>
      <c r="T648" s="136"/>
      <c r="U648" s="136"/>
      <c r="V648" s="136"/>
      <c r="W648" s="136"/>
      <c r="X648" s="136"/>
      <c r="Y648" s="136"/>
      <c r="Z648" s="136"/>
      <c r="AA648" s="231"/>
    </row>
    <row r="649" spans="1:27" x14ac:dyDescent="0.2">
      <c r="A649" s="39"/>
      <c r="B649" s="39"/>
      <c r="C649" s="43"/>
      <c r="D649" s="43"/>
      <c r="E649" s="43"/>
      <c r="F649" s="132"/>
      <c r="G649" s="41" t="e">
        <f>VLOOKUP(F649,Pcode!A:B,2,FALSE)</f>
        <v>#N/A</v>
      </c>
      <c r="H649" s="41"/>
      <c r="I649" s="41" t="e">
        <f>VLOOKUP(H649,Pcode!C:D,2,FALSE)</f>
        <v>#N/A</v>
      </c>
      <c r="J649" s="41"/>
      <c r="K649" s="160"/>
      <c r="L649" s="160"/>
      <c r="M649" s="46"/>
      <c r="N649" s="136"/>
      <c r="O649" s="136"/>
      <c r="P649" s="136"/>
      <c r="Q649" s="136"/>
      <c r="R649" s="136"/>
      <c r="S649" s="136"/>
      <c r="T649" s="136"/>
      <c r="U649" s="136"/>
      <c r="V649" s="136"/>
      <c r="W649" s="136"/>
      <c r="X649" s="136"/>
      <c r="Y649" s="136"/>
      <c r="Z649" s="136"/>
      <c r="AA649" s="231"/>
    </row>
    <row r="650" spans="1:27" x14ac:dyDescent="0.2">
      <c r="A650" s="39"/>
      <c r="B650" s="39"/>
      <c r="C650" s="43"/>
      <c r="D650" s="43"/>
      <c r="E650" s="43"/>
      <c r="F650" s="132"/>
      <c r="G650" s="41" t="e">
        <f>VLOOKUP(F650,Pcode!A:B,2,FALSE)</f>
        <v>#N/A</v>
      </c>
      <c r="H650" s="41"/>
      <c r="I650" s="41" t="e">
        <f>VLOOKUP(H650,Pcode!C:D,2,FALSE)</f>
        <v>#N/A</v>
      </c>
      <c r="J650" s="41"/>
      <c r="K650" s="160"/>
      <c r="L650" s="160"/>
      <c r="M650" s="46"/>
      <c r="N650" s="136"/>
      <c r="O650" s="136"/>
      <c r="P650" s="136"/>
      <c r="Q650" s="136"/>
      <c r="R650" s="136"/>
      <c r="S650" s="136"/>
      <c r="T650" s="136"/>
      <c r="U650" s="136"/>
      <c r="V650" s="136"/>
      <c r="W650" s="136"/>
      <c r="X650" s="136"/>
      <c r="Y650" s="136"/>
      <c r="Z650" s="136"/>
      <c r="AA650" s="231"/>
    </row>
    <row r="651" spans="1:27" x14ac:dyDescent="0.2">
      <c r="A651" s="39"/>
      <c r="B651" s="39"/>
      <c r="C651" s="43"/>
      <c r="D651" s="43"/>
      <c r="E651" s="43"/>
      <c r="F651" s="132"/>
      <c r="G651" s="41" t="e">
        <f>VLOOKUP(F651,Pcode!A:B,2,FALSE)</f>
        <v>#N/A</v>
      </c>
      <c r="H651" s="41"/>
      <c r="I651" s="41" t="e">
        <f>VLOOKUP(H651,Pcode!C:D,2,FALSE)</f>
        <v>#N/A</v>
      </c>
      <c r="J651" s="41"/>
      <c r="K651" s="160"/>
      <c r="L651" s="160"/>
      <c r="M651" s="46"/>
      <c r="N651" s="136"/>
      <c r="O651" s="136"/>
      <c r="P651" s="136"/>
      <c r="Q651" s="136"/>
      <c r="R651" s="136"/>
      <c r="S651" s="136"/>
      <c r="T651" s="136"/>
      <c r="U651" s="136"/>
      <c r="V651" s="136"/>
      <c r="W651" s="136"/>
      <c r="X651" s="136"/>
      <c r="Y651" s="136"/>
      <c r="Z651" s="136"/>
      <c r="AA651" s="231"/>
    </row>
    <row r="652" spans="1:27" x14ac:dyDescent="0.2">
      <c r="A652" s="39"/>
      <c r="B652" s="39"/>
      <c r="C652" s="43"/>
      <c r="D652" s="43"/>
      <c r="E652" s="43"/>
      <c r="F652" s="132"/>
      <c r="G652" s="41" t="e">
        <f>VLOOKUP(F652,Pcode!A:B,2,FALSE)</f>
        <v>#N/A</v>
      </c>
      <c r="H652" s="41"/>
      <c r="I652" s="41" t="e">
        <f>VLOOKUP(H652,Pcode!C:D,2,FALSE)</f>
        <v>#N/A</v>
      </c>
      <c r="J652" s="41"/>
      <c r="K652" s="160"/>
      <c r="L652" s="160"/>
      <c r="M652" s="46"/>
      <c r="N652" s="136"/>
      <c r="O652" s="136"/>
      <c r="P652" s="136"/>
      <c r="Q652" s="136"/>
      <c r="R652" s="136"/>
      <c r="S652" s="136"/>
      <c r="T652" s="136"/>
      <c r="U652" s="136"/>
      <c r="V652" s="136"/>
      <c r="W652" s="136"/>
      <c r="X652" s="136"/>
      <c r="Y652" s="136"/>
      <c r="Z652" s="136"/>
      <c r="AA652" s="231"/>
    </row>
    <row r="653" spans="1:27" x14ac:dyDescent="0.2">
      <c r="A653" s="39"/>
      <c r="B653" s="39"/>
      <c r="C653" s="43"/>
      <c r="D653" s="43"/>
      <c r="E653" s="43"/>
      <c r="F653" s="132"/>
      <c r="G653" s="41" t="e">
        <f>VLOOKUP(F653,Pcode!A:B,2,FALSE)</f>
        <v>#N/A</v>
      </c>
      <c r="H653" s="41"/>
      <c r="I653" s="41" t="e">
        <f>VLOOKUP(H653,Pcode!C:D,2,FALSE)</f>
        <v>#N/A</v>
      </c>
      <c r="J653" s="41"/>
      <c r="K653" s="160"/>
      <c r="L653" s="160"/>
      <c r="M653" s="46"/>
      <c r="N653" s="136"/>
      <c r="O653" s="136"/>
      <c r="P653" s="136"/>
      <c r="Q653" s="136"/>
      <c r="R653" s="136"/>
      <c r="S653" s="136"/>
      <c r="T653" s="136"/>
      <c r="U653" s="136"/>
      <c r="V653" s="136"/>
      <c r="W653" s="136"/>
      <c r="X653" s="136"/>
      <c r="Y653" s="136"/>
      <c r="Z653" s="136"/>
      <c r="AA653" s="231"/>
    </row>
    <row r="654" spans="1:27" x14ac:dyDescent="0.2">
      <c r="A654" s="39"/>
      <c r="B654" s="39"/>
      <c r="C654" s="43"/>
      <c r="D654" s="43"/>
      <c r="E654" s="43"/>
      <c r="F654" s="132"/>
      <c r="G654" s="41" t="e">
        <f>VLOOKUP(F654,Pcode!A:B,2,FALSE)</f>
        <v>#N/A</v>
      </c>
      <c r="H654" s="41"/>
      <c r="I654" s="41" t="e">
        <f>VLOOKUP(H654,Pcode!C:D,2,FALSE)</f>
        <v>#N/A</v>
      </c>
      <c r="J654" s="41"/>
      <c r="K654" s="160"/>
      <c r="L654" s="160"/>
      <c r="M654" s="46"/>
      <c r="N654" s="136"/>
      <c r="O654" s="136"/>
      <c r="P654" s="136"/>
      <c r="Q654" s="136"/>
      <c r="R654" s="136"/>
      <c r="S654" s="136"/>
      <c r="T654" s="136"/>
      <c r="U654" s="136"/>
      <c r="V654" s="136"/>
      <c r="W654" s="136"/>
      <c r="X654" s="136"/>
      <c r="Y654" s="136"/>
      <c r="Z654" s="136"/>
      <c r="AA654" s="231"/>
    </row>
    <row r="655" spans="1:27" x14ac:dyDescent="0.2">
      <c r="A655" s="39"/>
      <c r="B655" s="39"/>
      <c r="C655" s="43"/>
      <c r="D655" s="43"/>
      <c r="E655" s="43"/>
      <c r="F655" s="132"/>
      <c r="G655" s="41" t="e">
        <f>VLOOKUP(F655,Pcode!A:B,2,FALSE)</f>
        <v>#N/A</v>
      </c>
      <c r="H655" s="41"/>
      <c r="I655" s="41" t="e">
        <f>VLOOKUP(H655,Pcode!C:D,2,FALSE)</f>
        <v>#N/A</v>
      </c>
      <c r="J655" s="41"/>
      <c r="K655" s="160"/>
      <c r="L655" s="160"/>
      <c r="M655" s="46"/>
      <c r="N655" s="136"/>
      <c r="O655" s="136"/>
      <c r="P655" s="136"/>
      <c r="Q655" s="136"/>
      <c r="R655" s="136"/>
      <c r="S655" s="136"/>
      <c r="T655" s="136"/>
      <c r="U655" s="136"/>
      <c r="V655" s="136"/>
      <c r="W655" s="136"/>
      <c r="X655" s="136"/>
      <c r="Y655" s="136"/>
      <c r="Z655" s="136"/>
      <c r="AA655" s="231"/>
    </row>
    <row r="656" spans="1:27" x14ac:dyDescent="0.2">
      <c r="A656" s="39"/>
      <c r="B656" s="39"/>
      <c r="C656" s="43"/>
      <c r="D656" s="43"/>
      <c r="E656" s="43"/>
      <c r="F656" s="132"/>
      <c r="G656" s="41" t="e">
        <f>VLOOKUP(F656,Pcode!A:B,2,FALSE)</f>
        <v>#N/A</v>
      </c>
      <c r="H656" s="41"/>
      <c r="I656" s="41" t="e">
        <f>VLOOKUP(H656,Pcode!C:D,2,FALSE)</f>
        <v>#N/A</v>
      </c>
      <c r="J656" s="41"/>
      <c r="K656" s="160"/>
      <c r="L656" s="160"/>
      <c r="M656" s="46"/>
      <c r="N656" s="136"/>
      <c r="O656" s="136"/>
      <c r="P656" s="136"/>
      <c r="Q656" s="136"/>
      <c r="R656" s="136"/>
      <c r="S656" s="136"/>
      <c r="T656" s="136"/>
      <c r="U656" s="136"/>
      <c r="V656" s="136"/>
      <c r="W656" s="136"/>
      <c r="X656" s="136"/>
      <c r="Y656" s="136"/>
      <c r="Z656" s="136"/>
      <c r="AA656" s="231"/>
    </row>
    <row r="657" spans="1:27" x14ac:dyDescent="0.2">
      <c r="A657" s="39"/>
      <c r="B657" s="39"/>
      <c r="C657" s="43"/>
      <c r="D657" s="43"/>
      <c r="E657" s="43"/>
      <c r="F657" s="132"/>
      <c r="G657" s="41" t="e">
        <f>VLOOKUP(F657,Pcode!A:B,2,FALSE)</f>
        <v>#N/A</v>
      </c>
      <c r="H657" s="41"/>
      <c r="I657" s="41" t="e">
        <f>VLOOKUP(H657,Pcode!C:D,2,FALSE)</f>
        <v>#N/A</v>
      </c>
      <c r="J657" s="41"/>
      <c r="K657" s="160"/>
      <c r="L657" s="160"/>
      <c r="M657" s="46"/>
      <c r="N657" s="136"/>
      <c r="O657" s="136"/>
      <c r="P657" s="136"/>
      <c r="Q657" s="136"/>
      <c r="R657" s="136"/>
      <c r="S657" s="136"/>
      <c r="T657" s="136"/>
      <c r="U657" s="136"/>
      <c r="V657" s="136"/>
      <c r="W657" s="136"/>
      <c r="X657" s="136"/>
      <c r="Y657" s="136"/>
      <c r="Z657" s="136"/>
      <c r="AA657" s="231"/>
    </row>
    <row r="658" spans="1:27" x14ac:dyDescent="0.2">
      <c r="A658" s="39"/>
      <c r="B658" s="39"/>
      <c r="C658" s="43"/>
      <c r="D658" s="43"/>
      <c r="E658" s="43"/>
      <c r="F658" s="132"/>
      <c r="G658" s="41" t="e">
        <f>VLOOKUP(F658,Pcode!A:B,2,FALSE)</f>
        <v>#N/A</v>
      </c>
      <c r="H658" s="41"/>
      <c r="I658" s="41" t="e">
        <f>VLOOKUP(H658,Pcode!C:D,2,FALSE)</f>
        <v>#N/A</v>
      </c>
      <c r="J658" s="41"/>
      <c r="K658" s="160"/>
      <c r="L658" s="160"/>
      <c r="M658" s="46"/>
      <c r="N658" s="136"/>
      <c r="O658" s="136"/>
      <c r="P658" s="136"/>
      <c r="Q658" s="136"/>
      <c r="R658" s="136"/>
      <c r="S658" s="136"/>
      <c r="T658" s="136"/>
      <c r="U658" s="136"/>
      <c r="V658" s="136"/>
      <c r="W658" s="136"/>
      <c r="X658" s="136"/>
      <c r="Y658" s="136"/>
      <c r="Z658" s="136"/>
      <c r="AA658" s="231"/>
    </row>
    <row r="659" spans="1:27" x14ac:dyDescent="0.2">
      <c r="A659" s="39"/>
      <c r="B659" s="39"/>
      <c r="C659" s="43"/>
      <c r="D659" s="43"/>
      <c r="E659" s="43"/>
      <c r="F659" s="132"/>
      <c r="G659" s="41" t="e">
        <f>VLOOKUP(F659,Pcode!A:B,2,FALSE)</f>
        <v>#N/A</v>
      </c>
      <c r="H659" s="41"/>
      <c r="I659" s="41" t="e">
        <f>VLOOKUP(H659,Pcode!C:D,2,FALSE)</f>
        <v>#N/A</v>
      </c>
      <c r="J659" s="41"/>
      <c r="K659" s="160"/>
      <c r="L659" s="160"/>
      <c r="M659" s="46"/>
      <c r="N659" s="136"/>
      <c r="O659" s="136"/>
      <c r="P659" s="136"/>
      <c r="Q659" s="136"/>
      <c r="R659" s="136"/>
      <c r="S659" s="136"/>
      <c r="T659" s="136"/>
      <c r="U659" s="136"/>
      <c r="V659" s="136"/>
      <c r="W659" s="136"/>
      <c r="X659" s="136"/>
      <c r="Y659" s="136"/>
      <c r="Z659" s="136"/>
      <c r="AA659" s="231"/>
    </row>
    <row r="660" spans="1:27" x14ac:dyDescent="0.2">
      <c r="A660" s="39"/>
      <c r="B660" s="39"/>
      <c r="C660" s="43"/>
      <c r="D660" s="43"/>
      <c r="E660" s="43"/>
      <c r="F660" s="132"/>
      <c r="G660" s="41" t="e">
        <f>VLOOKUP(F660,Pcode!A:B,2,FALSE)</f>
        <v>#N/A</v>
      </c>
      <c r="H660" s="41"/>
      <c r="I660" s="41" t="e">
        <f>VLOOKUP(H660,Pcode!C:D,2,FALSE)</f>
        <v>#N/A</v>
      </c>
      <c r="J660" s="41"/>
      <c r="K660" s="160"/>
      <c r="L660" s="160"/>
      <c r="M660" s="46"/>
      <c r="N660" s="136"/>
      <c r="O660" s="136"/>
      <c r="P660" s="136"/>
      <c r="Q660" s="136"/>
      <c r="R660" s="136"/>
      <c r="S660" s="136"/>
      <c r="T660" s="136"/>
      <c r="U660" s="136"/>
      <c r="V660" s="136"/>
      <c r="W660" s="136"/>
      <c r="X660" s="136"/>
      <c r="Y660" s="136"/>
      <c r="Z660" s="136"/>
      <c r="AA660" s="231"/>
    </row>
    <row r="661" spans="1:27" x14ac:dyDescent="0.2">
      <c r="A661" s="39"/>
      <c r="B661" s="39"/>
      <c r="C661" s="43"/>
      <c r="D661" s="43"/>
      <c r="E661" s="43"/>
      <c r="F661" s="132"/>
      <c r="G661" s="41" t="e">
        <f>VLOOKUP(F661,Pcode!A:B,2,FALSE)</f>
        <v>#N/A</v>
      </c>
      <c r="H661" s="41"/>
      <c r="I661" s="41" t="e">
        <f>VLOOKUP(H661,Pcode!C:D,2,FALSE)</f>
        <v>#N/A</v>
      </c>
      <c r="J661" s="41"/>
      <c r="K661" s="160"/>
      <c r="L661" s="160"/>
      <c r="M661" s="46"/>
      <c r="N661" s="136"/>
      <c r="O661" s="136"/>
      <c r="P661" s="136"/>
      <c r="Q661" s="136"/>
      <c r="R661" s="136"/>
      <c r="S661" s="136"/>
      <c r="T661" s="136"/>
      <c r="U661" s="136"/>
      <c r="V661" s="136"/>
      <c r="W661" s="136"/>
      <c r="X661" s="136"/>
      <c r="Y661" s="136"/>
      <c r="Z661" s="136"/>
      <c r="AA661" s="231"/>
    </row>
    <row r="662" spans="1:27" x14ac:dyDescent="0.2">
      <c r="A662" s="39"/>
      <c r="B662" s="39"/>
      <c r="C662" s="43"/>
      <c r="D662" s="43"/>
      <c r="E662" s="43"/>
      <c r="F662" s="132"/>
      <c r="G662" s="41" t="e">
        <f>VLOOKUP(F662,Pcode!A:B,2,FALSE)</f>
        <v>#N/A</v>
      </c>
      <c r="H662" s="41"/>
      <c r="I662" s="41" t="e">
        <f>VLOOKUP(H662,Pcode!C:D,2,FALSE)</f>
        <v>#N/A</v>
      </c>
      <c r="J662" s="41"/>
      <c r="K662" s="160"/>
      <c r="L662" s="160"/>
      <c r="M662" s="46"/>
      <c r="N662" s="136"/>
      <c r="O662" s="136"/>
      <c r="P662" s="136"/>
      <c r="Q662" s="136"/>
      <c r="R662" s="136"/>
      <c r="S662" s="136"/>
      <c r="T662" s="136"/>
      <c r="U662" s="136"/>
      <c r="V662" s="136"/>
      <c r="W662" s="136"/>
      <c r="X662" s="136"/>
      <c r="Y662" s="136"/>
      <c r="Z662" s="136"/>
      <c r="AA662" s="231"/>
    </row>
    <row r="663" spans="1:27" x14ac:dyDescent="0.2">
      <c r="A663" s="39"/>
      <c r="B663" s="39"/>
      <c r="C663" s="43"/>
      <c r="D663" s="43"/>
      <c r="E663" s="43"/>
      <c r="F663" s="132"/>
      <c r="G663" s="41" t="e">
        <f>VLOOKUP(F663,Pcode!A:B,2,FALSE)</f>
        <v>#N/A</v>
      </c>
      <c r="H663" s="41"/>
      <c r="I663" s="41" t="e">
        <f>VLOOKUP(H663,Pcode!C:D,2,FALSE)</f>
        <v>#N/A</v>
      </c>
      <c r="J663" s="41"/>
      <c r="K663" s="160"/>
      <c r="L663" s="160"/>
      <c r="M663" s="46"/>
      <c r="N663" s="136"/>
      <c r="O663" s="136"/>
      <c r="P663" s="136"/>
      <c r="Q663" s="136"/>
      <c r="R663" s="136"/>
      <c r="S663" s="136"/>
      <c r="T663" s="136"/>
      <c r="U663" s="136"/>
      <c r="V663" s="136"/>
      <c r="W663" s="136"/>
      <c r="X663" s="136"/>
      <c r="Y663" s="136"/>
      <c r="Z663" s="136"/>
      <c r="AA663" s="231"/>
    </row>
    <row r="664" spans="1:27" x14ac:dyDescent="0.2">
      <c r="A664" s="39"/>
      <c r="B664" s="39"/>
      <c r="C664" s="43"/>
      <c r="D664" s="43"/>
      <c r="E664" s="43"/>
      <c r="F664" s="132"/>
      <c r="G664" s="41" t="e">
        <f>VLOOKUP(F664,Pcode!A:B,2,FALSE)</f>
        <v>#N/A</v>
      </c>
      <c r="H664" s="41"/>
      <c r="I664" s="41" t="e">
        <f>VLOOKUP(H664,Pcode!C:D,2,FALSE)</f>
        <v>#N/A</v>
      </c>
      <c r="J664" s="41"/>
      <c r="K664" s="160"/>
      <c r="L664" s="160"/>
      <c r="M664" s="46"/>
      <c r="N664" s="136"/>
      <c r="O664" s="136"/>
      <c r="P664" s="136"/>
      <c r="Q664" s="136"/>
      <c r="R664" s="136"/>
      <c r="S664" s="136"/>
      <c r="T664" s="136"/>
      <c r="U664" s="136"/>
      <c r="V664" s="136"/>
      <c r="W664" s="136"/>
      <c r="X664" s="136"/>
      <c r="Y664" s="136"/>
      <c r="Z664" s="136"/>
      <c r="AA664" s="231"/>
    </row>
    <row r="665" spans="1:27" x14ac:dyDescent="0.2">
      <c r="A665" s="39"/>
      <c r="B665" s="39"/>
      <c r="C665" s="43"/>
      <c r="D665" s="43"/>
      <c r="E665" s="43"/>
      <c r="F665" s="132"/>
      <c r="G665" s="41" t="e">
        <f>VLOOKUP(F665,Pcode!A:B,2,FALSE)</f>
        <v>#N/A</v>
      </c>
      <c r="H665" s="41"/>
      <c r="I665" s="41" t="e">
        <f>VLOOKUP(H665,Pcode!C:D,2,FALSE)</f>
        <v>#N/A</v>
      </c>
      <c r="J665" s="41"/>
      <c r="K665" s="160"/>
      <c r="L665" s="160"/>
      <c r="M665" s="46"/>
      <c r="N665" s="136"/>
      <c r="O665" s="136"/>
      <c r="P665" s="136"/>
      <c r="Q665" s="136"/>
      <c r="R665" s="136"/>
      <c r="S665" s="136"/>
      <c r="T665" s="136"/>
      <c r="U665" s="136"/>
      <c r="V665" s="136"/>
      <c r="W665" s="136"/>
      <c r="X665" s="136"/>
      <c r="Y665" s="136"/>
      <c r="Z665" s="136"/>
      <c r="AA665" s="231"/>
    </row>
    <row r="666" spans="1:27" x14ac:dyDescent="0.2">
      <c r="A666" s="39"/>
      <c r="B666" s="39"/>
      <c r="C666" s="43"/>
      <c r="D666" s="43"/>
      <c r="E666" s="43"/>
      <c r="F666" s="132"/>
      <c r="G666" s="41" t="e">
        <f>VLOOKUP(F666,Pcode!A:B,2,FALSE)</f>
        <v>#N/A</v>
      </c>
      <c r="H666" s="41"/>
      <c r="I666" s="41" t="e">
        <f>VLOOKUP(H666,Pcode!C:D,2,FALSE)</f>
        <v>#N/A</v>
      </c>
      <c r="J666" s="41"/>
      <c r="K666" s="160"/>
      <c r="L666" s="160"/>
      <c r="M666" s="46"/>
      <c r="N666" s="136"/>
      <c r="O666" s="136"/>
      <c r="P666" s="136"/>
      <c r="Q666" s="136"/>
      <c r="R666" s="136"/>
      <c r="S666" s="136"/>
      <c r="T666" s="136"/>
      <c r="U666" s="136"/>
      <c r="V666" s="136"/>
      <c r="W666" s="136"/>
      <c r="X666" s="136"/>
      <c r="Y666" s="136"/>
      <c r="Z666" s="136"/>
      <c r="AA666" s="231"/>
    </row>
    <row r="667" spans="1:27" x14ac:dyDescent="0.2">
      <c r="A667" s="39"/>
      <c r="B667" s="39"/>
      <c r="C667" s="43"/>
      <c r="D667" s="43"/>
      <c r="E667" s="43"/>
      <c r="F667" s="132"/>
      <c r="G667" s="41" t="e">
        <f>VLOOKUP(F667,Pcode!A:B,2,FALSE)</f>
        <v>#N/A</v>
      </c>
      <c r="H667" s="41"/>
      <c r="I667" s="41" t="e">
        <f>VLOOKUP(H667,Pcode!C:D,2,FALSE)</f>
        <v>#N/A</v>
      </c>
      <c r="J667" s="41"/>
      <c r="K667" s="160"/>
      <c r="L667" s="160"/>
      <c r="M667" s="46"/>
      <c r="N667" s="136"/>
      <c r="O667" s="136"/>
      <c r="P667" s="136"/>
      <c r="Q667" s="136"/>
      <c r="R667" s="136"/>
      <c r="S667" s="136"/>
      <c r="T667" s="136"/>
      <c r="U667" s="136"/>
      <c r="V667" s="136"/>
      <c r="W667" s="136"/>
      <c r="X667" s="136"/>
      <c r="Y667" s="136"/>
      <c r="Z667" s="136"/>
      <c r="AA667" s="231"/>
    </row>
    <row r="668" spans="1:27" x14ac:dyDescent="0.2">
      <c r="A668" s="39"/>
      <c r="B668" s="39"/>
      <c r="C668" s="43"/>
      <c r="D668" s="43"/>
      <c r="E668" s="43"/>
      <c r="F668" s="132"/>
      <c r="G668" s="41" t="e">
        <f>VLOOKUP(F668,Pcode!A:B,2,FALSE)</f>
        <v>#N/A</v>
      </c>
      <c r="H668" s="41"/>
      <c r="I668" s="41" t="e">
        <f>VLOOKUP(H668,Pcode!C:D,2,FALSE)</f>
        <v>#N/A</v>
      </c>
      <c r="J668" s="41"/>
      <c r="K668" s="160"/>
      <c r="L668" s="160"/>
      <c r="M668" s="46"/>
      <c r="N668" s="136"/>
      <c r="O668" s="136"/>
      <c r="P668" s="136"/>
      <c r="Q668" s="136"/>
      <c r="R668" s="136"/>
      <c r="S668" s="136"/>
      <c r="T668" s="136"/>
      <c r="U668" s="136"/>
      <c r="V668" s="136"/>
      <c r="W668" s="136"/>
      <c r="X668" s="136"/>
      <c r="Y668" s="136"/>
      <c r="Z668" s="136"/>
      <c r="AA668" s="231"/>
    </row>
    <row r="669" spans="1:27" x14ac:dyDescent="0.2">
      <c r="A669" s="39"/>
      <c r="B669" s="39"/>
      <c r="C669" s="43"/>
      <c r="D669" s="43"/>
      <c r="E669" s="43"/>
      <c r="F669" s="132"/>
      <c r="G669" s="41" t="e">
        <f>VLOOKUP(F669,Pcode!A:B,2,FALSE)</f>
        <v>#N/A</v>
      </c>
      <c r="H669" s="41"/>
      <c r="I669" s="41" t="e">
        <f>VLOOKUP(H669,Pcode!C:D,2,FALSE)</f>
        <v>#N/A</v>
      </c>
      <c r="J669" s="41"/>
      <c r="K669" s="160"/>
      <c r="L669" s="160"/>
      <c r="M669" s="46"/>
      <c r="N669" s="136"/>
      <c r="O669" s="136"/>
      <c r="P669" s="136"/>
      <c r="Q669" s="136"/>
      <c r="R669" s="136"/>
      <c r="S669" s="136"/>
      <c r="T669" s="136"/>
      <c r="U669" s="136"/>
      <c r="V669" s="136"/>
      <c r="W669" s="136"/>
      <c r="X669" s="136"/>
      <c r="Y669" s="136"/>
      <c r="Z669" s="136"/>
      <c r="AA669" s="231"/>
    </row>
    <row r="670" spans="1:27" x14ac:dyDescent="0.2">
      <c r="A670" s="39"/>
      <c r="B670" s="39"/>
      <c r="C670" s="43"/>
      <c r="D670" s="43"/>
      <c r="E670" s="43"/>
      <c r="F670" s="132"/>
      <c r="G670" s="41" t="e">
        <f>VLOOKUP(F670,Pcode!A:B,2,FALSE)</f>
        <v>#N/A</v>
      </c>
      <c r="H670" s="41"/>
      <c r="I670" s="41" t="e">
        <f>VLOOKUP(H670,Pcode!C:D,2,FALSE)</f>
        <v>#N/A</v>
      </c>
      <c r="J670" s="41"/>
      <c r="K670" s="160"/>
      <c r="L670" s="160"/>
      <c r="M670" s="46"/>
      <c r="N670" s="136"/>
      <c r="O670" s="136"/>
      <c r="P670" s="136"/>
      <c r="Q670" s="136"/>
      <c r="R670" s="136"/>
      <c r="S670" s="136"/>
      <c r="T670" s="136"/>
      <c r="U670" s="136"/>
      <c r="V670" s="136"/>
      <c r="W670" s="136"/>
      <c r="X670" s="136"/>
      <c r="Y670" s="136"/>
      <c r="Z670" s="136"/>
      <c r="AA670" s="231"/>
    </row>
    <row r="671" spans="1:27" x14ac:dyDescent="0.2">
      <c r="A671" s="39"/>
      <c r="B671" s="39"/>
      <c r="C671" s="43"/>
      <c r="D671" s="43"/>
      <c r="E671" s="43"/>
      <c r="F671" s="132"/>
      <c r="G671" s="41" t="e">
        <f>VLOOKUP(F671,Pcode!A:B,2,FALSE)</f>
        <v>#N/A</v>
      </c>
      <c r="H671" s="41"/>
      <c r="I671" s="41" t="e">
        <f>VLOOKUP(H671,Pcode!C:D,2,FALSE)</f>
        <v>#N/A</v>
      </c>
      <c r="J671" s="41"/>
      <c r="K671" s="160"/>
      <c r="L671" s="160"/>
      <c r="M671" s="46"/>
      <c r="N671" s="136"/>
      <c r="O671" s="136"/>
      <c r="P671" s="136"/>
      <c r="Q671" s="136"/>
      <c r="R671" s="136"/>
      <c r="S671" s="136"/>
      <c r="T671" s="136"/>
      <c r="U671" s="136"/>
      <c r="V671" s="136"/>
      <c r="W671" s="136"/>
      <c r="X671" s="136"/>
      <c r="Y671" s="136"/>
      <c r="Z671" s="136"/>
      <c r="AA671" s="231"/>
    </row>
    <row r="672" spans="1:27" x14ac:dyDescent="0.2">
      <c r="A672" s="39"/>
      <c r="B672" s="39"/>
      <c r="C672" s="43"/>
      <c r="D672" s="43"/>
      <c r="E672" s="43"/>
      <c r="F672" s="132"/>
      <c r="G672" s="41" t="e">
        <f>VLOOKUP(F672,Pcode!A:B,2,FALSE)</f>
        <v>#N/A</v>
      </c>
      <c r="H672" s="41"/>
      <c r="I672" s="41" t="e">
        <f>VLOOKUP(H672,Pcode!C:D,2,FALSE)</f>
        <v>#N/A</v>
      </c>
      <c r="J672" s="41"/>
      <c r="K672" s="160"/>
      <c r="L672" s="160"/>
      <c r="M672" s="46"/>
      <c r="N672" s="136"/>
      <c r="O672" s="136"/>
      <c r="P672" s="136"/>
      <c r="Q672" s="136"/>
      <c r="R672" s="136"/>
      <c r="S672" s="136"/>
      <c r="T672" s="136"/>
      <c r="U672" s="136"/>
      <c r="V672" s="136"/>
      <c r="W672" s="136"/>
      <c r="X672" s="136"/>
      <c r="Y672" s="136"/>
      <c r="Z672" s="136"/>
      <c r="AA672" s="231"/>
    </row>
    <row r="673" spans="1:27" x14ac:dyDescent="0.2">
      <c r="A673" s="39"/>
      <c r="B673" s="39"/>
      <c r="C673" s="43"/>
      <c r="D673" s="43"/>
      <c r="E673" s="43"/>
      <c r="F673" s="132"/>
      <c r="G673" s="41" t="e">
        <f>VLOOKUP(F673,Pcode!A:B,2,FALSE)</f>
        <v>#N/A</v>
      </c>
      <c r="H673" s="41"/>
      <c r="I673" s="41" t="e">
        <f>VLOOKUP(H673,Pcode!C:D,2,FALSE)</f>
        <v>#N/A</v>
      </c>
      <c r="J673" s="41"/>
      <c r="K673" s="160"/>
      <c r="L673" s="160"/>
      <c r="M673" s="46"/>
      <c r="N673" s="136"/>
      <c r="O673" s="136"/>
      <c r="P673" s="136"/>
      <c r="Q673" s="136"/>
      <c r="R673" s="136"/>
      <c r="S673" s="136"/>
      <c r="T673" s="136"/>
      <c r="U673" s="136"/>
      <c r="V673" s="136"/>
      <c r="W673" s="136"/>
      <c r="X673" s="136"/>
      <c r="Y673" s="136"/>
      <c r="Z673" s="136"/>
      <c r="AA673" s="231"/>
    </row>
    <row r="674" spans="1:27" x14ac:dyDescent="0.2">
      <c r="A674" s="39"/>
      <c r="B674" s="39"/>
      <c r="C674" s="43"/>
      <c r="D674" s="43"/>
      <c r="E674" s="43"/>
      <c r="F674" s="132"/>
      <c r="G674" s="41" t="e">
        <f>VLOOKUP(F674,Pcode!A:B,2,FALSE)</f>
        <v>#N/A</v>
      </c>
      <c r="H674" s="41"/>
      <c r="I674" s="41" t="e">
        <f>VLOOKUP(H674,Pcode!C:D,2,FALSE)</f>
        <v>#N/A</v>
      </c>
      <c r="J674" s="41"/>
      <c r="K674" s="160"/>
      <c r="L674" s="160"/>
      <c r="M674" s="46"/>
      <c r="N674" s="136"/>
      <c r="O674" s="136"/>
      <c r="P674" s="136"/>
      <c r="Q674" s="136"/>
      <c r="R674" s="136"/>
      <c r="S674" s="136"/>
      <c r="T674" s="136"/>
      <c r="U674" s="136"/>
      <c r="V674" s="136"/>
      <c r="W674" s="136"/>
      <c r="X674" s="136"/>
      <c r="Y674" s="136"/>
      <c r="Z674" s="136"/>
      <c r="AA674" s="231"/>
    </row>
    <row r="675" spans="1:27" x14ac:dyDescent="0.2">
      <c r="A675" s="39"/>
      <c r="B675" s="39"/>
      <c r="C675" s="43"/>
      <c r="D675" s="43"/>
      <c r="E675" s="43"/>
      <c r="F675" s="132"/>
      <c r="G675" s="41" t="e">
        <f>VLOOKUP(F675,Pcode!A:B,2,FALSE)</f>
        <v>#N/A</v>
      </c>
      <c r="H675" s="41"/>
      <c r="I675" s="41" t="e">
        <f>VLOOKUP(H675,Pcode!C:D,2,FALSE)</f>
        <v>#N/A</v>
      </c>
      <c r="J675" s="41"/>
      <c r="K675" s="160"/>
      <c r="L675" s="160"/>
      <c r="M675" s="46"/>
      <c r="N675" s="136"/>
      <c r="O675" s="136"/>
      <c r="P675" s="136"/>
      <c r="Q675" s="136"/>
      <c r="R675" s="136"/>
      <c r="S675" s="136"/>
      <c r="T675" s="136"/>
      <c r="U675" s="136"/>
      <c r="V675" s="136"/>
      <c r="W675" s="136"/>
      <c r="X675" s="136"/>
      <c r="Y675" s="136"/>
      <c r="Z675" s="136"/>
      <c r="AA675" s="231"/>
    </row>
    <row r="676" spans="1:27" x14ac:dyDescent="0.2">
      <c r="A676" s="39"/>
      <c r="B676" s="39"/>
      <c r="C676" s="43"/>
      <c r="D676" s="43"/>
      <c r="E676" s="43"/>
      <c r="F676" s="132"/>
      <c r="G676" s="41" t="e">
        <f>VLOOKUP(F676,Pcode!A:B,2,FALSE)</f>
        <v>#N/A</v>
      </c>
      <c r="H676" s="41"/>
      <c r="I676" s="41" t="e">
        <f>VLOOKUP(H676,Pcode!C:D,2,FALSE)</f>
        <v>#N/A</v>
      </c>
      <c r="J676" s="41"/>
      <c r="K676" s="160"/>
      <c r="L676" s="160"/>
      <c r="M676" s="46"/>
      <c r="N676" s="136"/>
      <c r="O676" s="136"/>
      <c r="P676" s="136"/>
      <c r="Q676" s="136"/>
      <c r="R676" s="136"/>
      <c r="S676" s="136"/>
      <c r="T676" s="136"/>
      <c r="U676" s="136"/>
      <c r="V676" s="136"/>
      <c r="W676" s="136"/>
      <c r="X676" s="136"/>
      <c r="Y676" s="136"/>
      <c r="Z676" s="136"/>
      <c r="AA676" s="231"/>
    </row>
    <row r="677" spans="1:27" x14ac:dyDescent="0.2">
      <c r="A677" s="39"/>
      <c r="B677" s="39"/>
      <c r="C677" s="43"/>
      <c r="D677" s="43"/>
      <c r="E677" s="43"/>
      <c r="F677" s="132"/>
      <c r="G677" s="41" t="e">
        <f>VLOOKUP(F677,Pcode!A:B,2,FALSE)</f>
        <v>#N/A</v>
      </c>
      <c r="H677" s="41"/>
      <c r="I677" s="41" t="e">
        <f>VLOOKUP(H677,Pcode!C:D,2,FALSE)</f>
        <v>#N/A</v>
      </c>
      <c r="J677" s="41"/>
      <c r="K677" s="160"/>
      <c r="L677" s="160"/>
      <c r="M677" s="46"/>
      <c r="N677" s="136"/>
      <c r="O677" s="136"/>
      <c r="P677" s="136"/>
      <c r="Q677" s="136"/>
      <c r="R677" s="136"/>
      <c r="S677" s="136"/>
      <c r="T677" s="136"/>
      <c r="U677" s="136"/>
      <c r="V677" s="136"/>
      <c r="W677" s="136"/>
      <c r="X677" s="136"/>
      <c r="Y677" s="136"/>
      <c r="Z677" s="136"/>
      <c r="AA677" s="231"/>
    </row>
    <row r="678" spans="1:27" x14ac:dyDescent="0.2">
      <c r="A678" s="39"/>
      <c r="B678" s="39"/>
      <c r="C678" s="43"/>
      <c r="D678" s="43"/>
      <c r="E678" s="43"/>
      <c r="F678" s="132"/>
      <c r="G678" s="41" t="e">
        <f>VLOOKUP(F678,Pcode!A:B,2,FALSE)</f>
        <v>#N/A</v>
      </c>
      <c r="H678" s="41"/>
      <c r="I678" s="41" t="e">
        <f>VLOOKUP(H678,Pcode!C:D,2,FALSE)</f>
        <v>#N/A</v>
      </c>
      <c r="J678" s="41"/>
      <c r="K678" s="160"/>
      <c r="L678" s="160"/>
      <c r="M678" s="46"/>
      <c r="N678" s="136"/>
      <c r="O678" s="136"/>
      <c r="P678" s="136"/>
      <c r="Q678" s="136"/>
      <c r="R678" s="136"/>
      <c r="S678" s="136"/>
      <c r="T678" s="136"/>
      <c r="U678" s="136"/>
      <c r="V678" s="136"/>
      <c r="W678" s="136"/>
      <c r="X678" s="136"/>
      <c r="Y678" s="136"/>
      <c r="Z678" s="136"/>
      <c r="AA678" s="231"/>
    </row>
    <row r="679" spans="1:27" x14ac:dyDescent="0.2">
      <c r="A679" s="39"/>
      <c r="B679" s="39"/>
      <c r="C679" s="43"/>
      <c r="D679" s="43"/>
      <c r="E679" s="43"/>
      <c r="F679" s="132"/>
      <c r="G679" s="41" t="e">
        <f>VLOOKUP(F679,Pcode!A:B,2,FALSE)</f>
        <v>#N/A</v>
      </c>
      <c r="H679" s="41"/>
      <c r="I679" s="41" t="e">
        <f>VLOOKUP(H679,Pcode!C:D,2,FALSE)</f>
        <v>#N/A</v>
      </c>
      <c r="J679" s="41"/>
      <c r="K679" s="160"/>
      <c r="L679" s="160"/>
      <c r="M679" s="46"/>
      <c r="N679" s="136"/>
      <c r="O679" s="136"/>
      <c r="P679" s="136"/>
      <c r="Q679" s="136"/>
      <c r="R679" s="136"/>
      <c r="S679" s="136"/>
      <c r="T679" s="136"/>
      <c r="U679" s="136"/>
      <c r="V679" s="136"/>
      <c r="W679" s="136"/>
      <c r="X679" s="136"/>
      <c r="Y679" s="136"/>
      <c r="Z679" s="136"/>
      <c r="AA679" s="231"/>
    </row>
    <row r="680" spans="1:27" x14ac:dyDescent="0.2">
      <c r="A680" s="39"/>
      <c r="B680" s="39"/>
      <c r="C680" s="43"/>
      <c r="D680" s="43"/>
      <c r="E680" s="43"/>
      <c r="F680" s="132"/>
      <c r="G680" s="41" t="e">
        <f>VLOOKUP(F680,Pcode!A:B,2,FALSE)</f>
        <v>#N/A</v>
      </c>
      <c r="H680" s="41"/>
      <c r="I680" s="41" t="e">
        <f>VLOOKUP(H680,Pcode!C:D,2,FALSE)</f>
        <v>#N/A</v>
      </c>
      <c r="J680" s="41"/>
      <c r="K680" s="160"/>
      <c r="L680" s="160"/>
      <c r="M680" s="46"/>
      <c r="N680" s="136"/>
      <c r="O680" s="136"/>
      <c r="P680" s="136"/>
      <c r="Q680" s="136"/>
      <c r="R680" s="136"/>
      <c r="S680" s="136"/>
      <c r="T680" s="136"/>
      <c r="U680" s="136"/>
      <c r="V680" s="136"/>
      <c r="W680" s="136"/>
      <c r="X680" s="136"/>
      <c r="Y680" s="136"/>
      <c r="Z680" s="136"/>
      <c r="AA680" s="231"/>
    </row>
    <row r="681" spans="1:27" x14ac:dyDescent="0.2">
      <c r="A681" s="39"/>
      <c r="B681" s="39"/>
      <c r="C681" s="43"/>
      <c r="D681" s="43"/>
      <c r="E681" s="43"/>
      <c r="F681" s="132"/>
      <c r="G681" s="41" t="e">
        <f>VLOOKUP(F681,Pcode!A:B,2,FALSE)</f>
        <v>#N/A</v>
      </c>
      <c r="H681" s="41"/>
      <c r="I681" s="41" t="e">
        <f>VLOOKUP(H681,Pcode!C:D,2,FALSE)</f>
        <v>#N/A</v>
      </c>
      <c r="J681" s="41"/>
      <c r="K681" s="160"/>
      <c r="L681" s="160"/>
      <c r="M681" s="46"/>
      <c r="N681" s="136"/>
      <c r="O681" s="136"/>
      <c r="P681" s="136"/>
      <c r="Q681" s="136"/>
      <c r="R681" s="136"/>
      <c r="S681" s="136"/>
      <c r="T681" s="136"/>
      <c r="U681" s="136"/>
      <c r="V681" s="136"/>
      <c r="W681" s="136"/>
      <c r="X681" s="136"/>
      <c r="Y681" s="136"/>
      <c r="Z681" s="136"/>
      <c r="AA681" s="231"/>
    </row>
    <row r="682" spans="1:27" x14ac:dyDescent="0.2">
      <c r="A682" s="39"/>
      <c r="B682" s="39"/>
      <c r="C682" s="43"/>
      <c r="D682" s="43"/>
      <c r="E682" s="43"/>
      <c r="F682" s="132"/>
      <c r="G682" s="41" t="e">
        <f>VLOOKUP(F682,Pcode!A:B,2,FALSE)</f>
        <v>#N/A</v>
      </c>
      <c r="H682" s="41"/>
      <c r="I682" s="41" t="e">
        <f>VLOOKUP(H682,Pcode!C:D,2,FALSE)</f>
        <v>#N/A</v>
      </c>
      <c r="J682" s="41"/>
      <c r="K682" s="160"/>
      <c r="L682" s="160"/>
      <c r="M682" s="46"/>
      <c r="N682" s="136"/>
      <c r="O682" s="136"/>
      <c r="P682" s="136"/>
      <c r="Q682" s="136"/>
      <c r="R682" s="136"/>
      <c r="S682" s="136"/>
      <c r="T682" s="136"/>
      <c r="U682" s="136"/>
      <c r="V682" s="136"/>
      <c r="W682" s="136"/>
      <c r="X682" s="136"/>
      <c r="Y682" s="136"/>
      <c r="Z682" s="136"/>
      <c r="AA682" s="231"/>
    </row>
    <row r="683" spans="1:27" x14ac:dyDescent="0.2">
      <c r="A683" s="39"/>
      <c r="B683" s="39"/>
      <c r="C683" s="43"/>
      <c r="D683" s="43"/>
      <c r="E683" s="43"/>
      <c r="F683" s="132"/>
      <c r="G683" s="41" t="e">
        <f>VLOOKUP(F683,Pcode!A:B,2,FALSE)</f>
        <v>#N/A</v>
      </c>
      <c r="H683" s="41"/>
      <c r="I683" s="41" t="e">
        <f>VLOOKUP(H683,Pcode!C:D,2,FALSE)</f>
        <v>#N/A</v>
      </c>
      <c r="J683" s="41"/>
      <c r="K683" s="160"/>
      <c r="L683" s="160"/>
      <c r="M683" s="46"/>
      <c r="N683" s="136"/>
      <c r="O683" s="136"/>
      <c r="P683" s="136"/>
      <c r="Q683" s="136"/>
      <c r="R683" s="136"/>
      <c r="S683" s="136"/>
      <c r="T683" s="136"/>
      <c r="U683" s="136"/>
      <c r="V683" s="136"/>
      <c r="W683" s="136"/>
      <c r="X683" s="136"/>
      <c r="Y683" s="136"/>
      <c r="Z683" s="136"/>
      <c r="AA683" s="231"/>
    </row>
    <row r="684" spans="1:27" x14ac:dyDescent="0.2">
      <c r="A684" s="39"/>
      <c r="B684" s="39"/>
      <c r="C684" s="43"/>
      <c r="D684" s="43"/>
      <c r="E684" s="43"/>
      <c r="F684" s="132"/>
      <c r="G684" s="41" t="e">
        <f>VLOOKUP(F684,Pcode!A:B,2,FALSE)</f>
        <v>#N/A</v>
      </c>
      <c r="H684" s="41"/>
      <c r="I684" s="41" t="e">
        <f>VLOOKUP(H684,Pcode!C:D,2,FALSE)</f>
        <v>#N/A</v>
      </c>
      <c r="J684" s="41"/>
      <c r="K684" s="160"/>
      <c r="L684" s="160"/>
      <c r="M684" s="46"/>
      <c r="N684" s="136"/>
      <c r="O684" s="136"/>
      <c r="P684" s="136"/>
      <c r="Q684" s="136"/>
      <c r="R684" s="136"/>
      <c r="S684" s="136"/>
      <c r="T684" s="136"/>
      <c r="U684" s="136"/>
      <c r="V684" s="136"/>
      <c r="W684" s="136"/>
      <c r="X684" s="136"/>
      <c r="Y684" s="136"/>
      <c r="Z684" s="136"/>
      <c r="AA684" s="231"/>
    </row>
    <row r="685" spans="1:27" x14ac:dyDescent="0.2">
      <c r="A685" s="39"/>
      <c r="B685" s="39"/>
      <c r="C685" s="43"/>
      <c r="D685" s="43"/>
      <c r="E685" s="43"/>
      <c r="F685" s="132"/>
      <c r="G685" s="41" t="e">
        <f>VLOOKUP(F685,Pcode!A:B,2,FALSE)</f>
        <v>#N/A</v>
      </c>
      <c r="H685" s="41"/>
      <c r="I685" s="41" t="e">
        <f>VLOOKUP(H685,Pcode!C:D,2,FALSE)</f>
        <v>#N/A</v>
      </c>
      <c r="J685" s="41"/>
      <c r="K685" s="160"/>
      <c r="L685" s="160"/>
      <c r="M685" s="46"/>
      <c r="N685" s="136"/>
      <c r="O685" s="136"/>
      <c r="P685" s="136"/>
      <c r="Q685" s="136"/>
      <c r="R685" s="136"/>
      <c r="S685" s="136"/>
      <c r="T685" s="136"/>
      <c r="U685" s="136"/>
      <c r="V685" s="136"/>
      <c r="W685" s="136"/>
      <c r="X685" s="136"/>
      <c r="Y685" s="136"/>
      <c r="Z685" s="136"/>
      <c r="AA685" s="231"/>
    </row>
    <row r="686" spans="1:27" x14ac:dyDescent="0.2">
      <c r="A686" s="39"/>
      <c r="B686" s="39"/>
      <c r="C686" s="43"/>
      <c r="D686" s="43"/>
      <c r="E686" s="43"/>
      <c r="F686" s="132"/>
      <c r="G686" s="41" t="e">
        <f>VLOOKUP(F686,Pcode!A:B,2,FALSE)</f>
        <v>#N/A</v>
      </c>
      <c r="H686" s="41"/>
      <c r="I686" s="41" t="e">
        <f>VLOOKUP(H686,Pcode!C:D,2,FALSE)</f>
        <v>#N/A</v>
      </c>
      <c r="J686" s="41"/>
      <c r="K686" s="160"/>
      <c r="L686" s="160"/>
      <c r="M686" s="46"/>
      <c r="N686" s="136"/>
      <c r="O686" s="136"/>
      <c r="P686" s="136"/>
      <c r="Q686" s="136"/>
      <c r="R686" s="136"/>
      <c r="S686" s="136"/>
      <c r="T686" s="136"/>
      <c r="U686" s="136"/>
      <c r="V686" s="136"/>
      <c r="W686" s="136"/>
      <c r="X686" s="136"/>
      <c r="Y686" s="136"/>
      <c r="Z686" s="136"/>
      <c r="AA686" s="231"/>
    </row>
    <row r="687" spans="1:27" x14ac:dyDescent="0.2">
      <c r="A687" s="39"/>
      <c r="B687" s="39"/>
      <c r="C687" s="43"/>
      <c r="D687" s="43"/>
      <c r="E687" s="43"/>
      <c r="F687" s="132"/>
      <c r="G687" s="41" t="e">
        <f>VLOOKUP(F687,Pcode!A:B,2,FALSE)</f>
        <v>#N/A</v>
      </c>
      <c r="H687" s="41"/>
      <c r="I687" s="41" t="e">
        <f>VLOOKUP(H687,Pcode!C:D,2,FALSE)</f>
        <v>#N/A</v>
      </c>
      <c r="J687" s="41"/>
      <c r="K687" s="160"/>
      <c r="L687" s="160"/>
      <c r="M687" s="46"/>
      <c r="N687" s="136"/>
      <c r="O687" s="136"/>
      <c r="P687" s="136"/>
      <c r="Q687" s="136"/>
      <c r="R687" s="136"/>
      <c r="S687" s="136"/>
      <c r="T687" s="136"/>
      <c r="U687" s="136"/>
      <c r="V687" s="136"/>
      <c r="W687" s="136"/>
      <c r="X687" s="136"/>
      <c r="Y687" s="136"/>
      <c r="Z687" s="136"/>
      <c r="AA687" s="231"/>
    </row>
    <row r="688" spans="1:27" x14ac:dyDescent="0.2">
      <c r="A688" s="39"/>
      <c r="B688" s="39"/>
      <c r="C688" s="43"/>
      <c r="D688" s="43"/>
      <c r="E688" s="43"/>
      <c r="F688" s="132"/>
      <c r="G688" s="41" t="e">
        <f>VLOOKUP(F688,Pcode!A:B,2,FALSE)</f>
        <v>#N/A</v>
      </c>
      <c r="H688" s="41"/>
      <c r="I688" s="41" t="e">
        <f>VLOOKUP(H688,Pcode!C:D,2,FALSE)</f>
        <v>#N/A</v>
      </c>
      <c r="J688" s="41"/>
      <c r="K688" s="160"/>
      <c r="L688" s="160"/>
      <c r="M688" s="46"/>
      <c r="N688" s="136"/>
      <c r="O688" s="136"/>
      <c r="P688" s="136"/>
      <c r="Q688" s="136"/>
      <c r="R688" s="136"/>
      <c r="S688" s="136"/>
      <c r="T688" s="136"/>
      <c r="U688" s="136"/>
      <c r="V688" s="136"/>
      <c r="W688" s="136"/>
      <c r="X688" s="136"/>
      <c r="Y688" s="136"/>
      <c r="Z688" s="136"/>
      <c r="AA688" s="231"/>
    </row>
    <row r="689" spans="1:27" x14ac:dyDescent="0.2">
      <c r="A689" s="39"/>
      <c r="B689" s="39"/>
      <c r="C689" s="43"/>
      <c r="D689" s="43"/>
      <c r="E689" s="43"/>
      <c r="F689" s="132"/>
      <c r="G689" s="41" t="e">
        <f>VLOOKUP(F689,Pcode!A:B,2,FALSE)</f>
        <v>#N/A</v>
      </c>
      <c r="H689" s="41"/>
      <c r="I689" s="41" t="e">
        <f>VLOOKUP(H689,Pcode!C:D,2,FALSE)</f>
        <v>#N/A</v>
      </c>
      <c r="J689" s="41"/>
      <c r="K689" s="160"/>
      <c r="L689" s="160"/>
      <c r="M689" s="46"/>
      <c r="N689" s="136"/>
      <c r="O689" s="136"/>
      <c r="P689" s="136"/>
      <c r="Q689" s="136"/>
      <c r="R689" s="136"/>
      <c r="S689" s="136"/>
      <c r="T689" s="136"/>
      <c r="U689" s="136"/>
      <c r="V689" s="136"/>
      <c r="W689" s="136"/>
      <c r="X689" s="136"/>
      <c r="Y689" s="136"/>
      <c r="Z689" s="136"/>
      <c r="AA689" s="231"/>
    </row>
    <row r="690" spans="1:27" x14ac:dyDescent="0.2">
      <c r="A690" s="39"/>
      <c r="B690" s="39"/>
      <c r="C690" s="43"/>
      <c r="D690" s="43"/>
      <c r="E690" s="43"/>
      <c r="F690" s="132"/>
      <c r="G690" s="41" t="e">
        <f>VLOOKUP(F690,Pcode!A:B,2,FALSE)</f>
        <v>#N/A</v>
      </c>
      <c r="H690" s="41"/>
      <c r="I690" s="41" t="e">
        <f>VLOOKUP(H690,Pcode!C:D,2,FALSE)</f>
        <v>#N/A</v>
      </c>
      <c r="J690" s="41"/>
      <c r="K690" s="160"/>
      <c r="L690" s="160"/>
      <c r="M690" s="46"/>
      <c r="N690" s="136"/>
      <c r="O690" s="136"/>
      <c r="P690" s="136"/>
      <c r="Q690" s="136"/>
      <c r="R690" s="136"/>
      <c r="S690" s="136"/>
      <c r="T690" s="136"/>
      <c r="U690" s="136"/>
      <c r="V690" s="136"/>
      <c r="W690" s="136"/>
      <c r="X690" s="136"/>
      <c r="Y690" s="136"/>
      <c r="Z690" s="136"/>
      <c r="AA690" s="231"/>
    </row>
    <row r="691" spans="1:27" x14ac:dyDescent="0.2">
      <c r="A691" s="39"/>
      <c r="B691" s="39"/>
      <c r="C691" s="43"/>
      <c r="D691" s="43"/>
      <c r="E691" s="43"/>
      <c r="F691" s="132"/>
      <c r="G691" s="41" t="e">
        <f>VLOOKUP(F691,Pcode!A:B,2,FALSE)</f>
        <v>#N/A</v>
      </c>
      <c r="H691" s="41"/>
      <c r="I691" s="41" t="e">
        <f>VLOOKUP(H691,Pcode!C:D,2,FALSE)</f>
        <v>#N/A</v>
      </c>
      <c r="J691" s="41"/>
      <c r="K691" s="160"/>
      <c r="L691" s="160"/>
      <c r="M691" s="46"/>
      <c r="N691" s="136"/>
      <c r="O691" s="136"/>
      <c r="P691" s="136"/>
      <c r="Q691" s="136"/>
      <c r="R691" s="136"/>
      <c r="S691" s="136"/>
      <c r="T691" s="136"/>
      <c r="U691" s="136"/>
      <c r="V691" s="136"/>
      <c r="W691" s="136"/>
      <c r="X691" s="136"/>
      <c r="Y691" s="136"/>
      <c r="Z691" s="136"/>
      <c r="AA691" s="231"/>
    </row>
    <row r="692" spans="1:27" x14ac:dyDescent="0.2">
      <c r="A692" s="39"/>
      <c r="B692" s="39"/>
      <c r="C692" s="43"/>
      <c r="D692" s="43"/>
      <c r="E692" s="43"/>
      <c r="F692" s="132"/>
      <c r="G692" s="41" t="e">
        <f>VLOOKUP(F692,Pcode!A:B,2,FALSE)</f>
        <v>#N/A</v>
      </c>
      <c r="H692" s="41"/>
      <c r="I692" s="41" t="e">
        <f>VLOOKUP(H692,Pcode!C:D,2,FALSE)</f>
        <v>#N/A</v>
      </c>
      <c r="J692" s="41"/>
      <c r="K692" s="160"/>
      <c r="L692" s="160"/>
      <c r="M692" s="46"/>
      <c r="N692" s="136"/>
      <c r="O692" s="136"/>
      <c r="P692" s="136"/>
      <c r="Q692" s="136"/>
      <c r="R692" s="136"/>
      <c r="S692" s="136"/>
      <c r="T692" s="136"/>
      <c r="U692" s="136"/>
      <c r="V692" s="136"/>
      <c r="W692" s="136"/>
      <c r="X692" s="136"/>
      <c r="Y692" s="136"/>
      <c r="Z692" s="136"/>
      <c r="AA692" s="231"/>
    </row>
    <row r="693" spans="1:27" x14ac:dyDescent="0.2">
      <c r="A693" s="39"/>
      <c r="B693" s="39"/>
      <c r="C693" s="43"/>
      <c r="D693" s="43"/>
      <c r="E693" s="43"/>
      <c r="F693" s="132"/>
      <c r="G693" s="41" t="e">
        <f>VLOOKUP(F693,Pcode!A:B,2,FALSE)</f>
        <v>#N/A</v>
      </c>
      <c r="H693" s="41"/>
      <c r="I693" s="41" t="e">
        <f>VLOOKUP(H693,Pcode!C:D,2,FALSE)</f>
        <v>#N/A</v>
      </c>
      <c r="J693" s="41"/>
      <c r="K693" s="160"/>
      <c r="L693" s="160"/>
      <c r="M693" s="46"/>
      <c r="N693" s="136"/>
      <c r="O693" s="136"/>
      <c r="P693" s="136"/>
      <c r="Q693" s="136"/>
      <c r="R693" s="136"/>
      <c r="S693" s="136"/>
      <c r="T693" s="136"/>
      <c r="U693" s="136"/>
      <c r="V693" s="136"/>
      <c r="W693" s="136"/>
      <c r="X693" s="136"/>
      <c r="Y693" s="136"/>
      <c r="Z693" s="136"/>
      <c r="AA693" s="231"/>
    </row>
    <row r="694" spans="1:27" x14ac:dyDescent="0.2">
      <c r="A694" s="39"/>
      <c r="B694" s="39"/>
      <c r="C694" s="43"/>
      <c r="D694" s="43"/>
      <c r="E694" s="43"/>
      <c r="F694" s="132"/>
      <c r="G694" s="41" t="e">
        <f>VLOOKUP(F694,Pcode!A:B,2,FALSE)</f>
        <v>#N/A</v>
      </c>
      <c r="H694" s="41"/>
      <c r="I694" s="41" t="e">
        <f>VLOOKUP(H694,Pcode!C:D,2,FALSE)</f>
        <v>#N/A</v>
      </c>
      <c r="J694" s="41"/>
      <c r="K694" s="160"/>
      <c r="L694" s="160"/>
      <c r="M694" s="46"/>
      <c r="N694" s="136"/>
      <c r="O694" s="136"/>
      <c r="P694" s="136"/>
      <c r="Q694" s="136"/>
      <c r="R694" s="136"/>
      <c r="S694" s="136"/>
      <c r="T694" s="136"/>
      <c r="U694" s="136"/>
      <c r="V694" s="136"/>
      <c r="W694" s="136"/>
      <c r="X694" s="136"/>
      <c r="Y694" s="136"/>
      <c r="Z694" s="136"/>
      <c r="AA694" s="231"/>
    </row>
    <row r="695" spans="1:27" x14ac:dyDescent="0.2">
      <c r="A695" s="39"/>
      <c r="B695" s="39"/>
      <c r="C695" s="43"/>
      <c r="D695" s="43"/>
      <c r="E695" s="43"/>
      <c r="F695" s="132"/>
      <c r="G695" s="41" t="e">
        <f>VLOOKUP(F695,Pcode!A:B,2,FALSE)</f>
        <v>#N/A</v>
      </c>
      <c r="H695" s="41"/>
      <c r="I695" s="41" t="e">
        <f>VLOOKUP(H695,Pcode!C:D,2,FALSE)</f>
        <v>#N/A</v>
      </c>
      <c r="J695" s="41"/>
      <c r="K695" s="160"/>
      <c r="L695" s="160"/>
      <c r="M695" s="46"/>
      <c r="N695" s="136"/>
      <c r="O695" s="136"/>
      <c r="P695" s="136"/>
      <c r="Q695" s="136"/>
      <c r="R695" s="136"/>
      <c r="S695" s="136"/>
      <c r="T695" s="136"/>
      <c r="U695" s="136"/>
      <c r="V695" s="136"/>
      <c r="W695" s="136"/>
      <c r="X695" s="136"/>
      <c r="Y695" s="136"/>
      <c r="Z695" s="136"/>
      <c r="AA695" s="231"/>
    </row>
    <row r="696" spans="1:27" x14ac:dyDescent="0.2">
      <c r="A696" s="39"/>
      <c r="B696" s="39"/>
      <c r="C696" s="43"/>
      <c r="D696" s="43"/>
      <c r="E696" s="43"/>
      <c r="F696" s="132"/>
      <c r="G696" s="41" t="e">
        <f>VLOOKUP(F696,Pcode!A:B,2,FALSE)</f>
        <v>#N/A</v>
      </c>
      <c r="H696" s="41"/>
      <c r="I696" s="41" t="e">
        <f>VLOOKUP(H696,Pcode!C:D,2,FALSE)</f>
        <v>#N/A</v>
      </c>
      <c r="J696" s="41"/>
      <c r="K696" s="160"/>
      <c r="L696" s="160"/>
      <c r="M696" s="46"/>
      <c r="N696" s="136"/>
      <c r="O696" s="136"/>
      <c r="P696" s="136"/>
      <c r="Q696" s="136"/>
      <c r="R696" s="136"/>
      <c r="S696" s="136"/>
      <c r="T696" s="136"/>
      <c r="U696" s="136"/>
      <c r="V696" s="136"/>
      <c r="W696" s="136"/>
      <c r="X696" s="136"/>
      <c r="Y696" s="136"/>
      <c r="Z696" s="136"/>
      <c r="AA696" s="231"/>
    </row>
    <row r="697" spans="1:27" x14ac:dyDescent="0.2">
      <c r="A697" s="39"/>
      <c r="B697" s="39"/>
      <c r="C697" s="43"/>
      <c r="D697" s="43"/>
      <c r="E697" s="43"/>
      <c r="F697" s="132"/>
      <c r="G697" s="41" t="e">
        <f>VLOOKUP(F697,Pcode!A:B,2,FALSE)</f>
        <v>#N/A</v>
      </c>
      <c r="H697" s="41"/>
      <c r="I697" s="41" t="e">
        <f>VLOOKUP(H697,Pcode!C:D,2,FALSE)</f>
        <v>#N/A</v>
      </c>
      <c r="J697" s="41"/>
      <c r="K697" s="160"/>
      <c r="L697" s="160"/>
      <c r="M697" s="46"/>
      <c r="N697" s="136"/>
      <c r="O697" s="136"/>
      <c r="P697" s="136"/>
      <c r="Q697" s="136"/>
      <c r="R697" s="136"/>
      <c r="S697" s="136"/>
      <c r="T697" s="136"/>
      <c r="U697" s="136"/>
      <c r="V697" s="136"/>
      <c r="W697" s="136"/>
      <c r="X697" s="136"/>
      <c r="Y697" s="136"/>
      <c r="Z697" s="136"/>
      <c r="AA697" s="231"/>
    </row>
    <row r="698" spans="1:27" x14ac:dyDescent="0.2">
      <c r="A698" s="39"/>
      <c r="B698" s="39"/>
      <c r="C698" s="43"/>
      <c r="D698" s="43"/>
      <c r="E698" s="43"/>
      <c r="F698" s="132"/>
      <c r="G698" s="41" t="e">
        <f>VLOOKUP(F698,Pcode!A:B,2,FALSE)</f>
        <v>#N/A</v>
      </c>
      <c r="H698" s="41"/>
      <c r="I698" s="41" t="e">
        <f>VLOOKUP(H698,Pcode!C:D,2,FALSE)</f>
        <v>#N/A</v>
      </c>
      <c r="J698" s="41"/>
      <c r="K698" s="160"/>
      <c r="L698" s="160"/>
      <c r="M698" s="46"/>
      <c r="N698" s="136"/>
      <c r="O698" s="136"/>
      <c r="P698" s="136"/>
      <c r="Q698" s="136"/>
      <c r="R698" s="136"/>
      <c r="S698" s="136"/>
      <c r="T698" s="136"/>
      <c r="U698" s="136"/>
      <c r="V698" s="136"/>
      <c r="W698" s="136"/>
      <c r="X698" s="136"/>
      <c r="Y698" s="136"/>
      <c r="Z698" s="136"/>
      <c r="AA698" s="231"/>
    </row>
    <row r="699" spans="1:27" x14ac:dyDescent="0.2">
      <c r="A699" s="39"/>
      <c r="B699" s="39"/>
      <c r="C699" s="43"/>
      <c r="D699" s="43"/>
      <c r="E699" s="43"/>
      <c r="F699" s="132"/>
      <c r="G699" s="41" t="e">
        <f>VLOOKUP(F699,Pcode!A:B,2,FALSE)</f>
        <v>#N/A</v>
      </c>
      <c r="H699" s="41"/>
      <c r="I699" s="41" t="e">
        <f>VLOOKUP(H699,Pcode!C:D,2,FALSE)</f>
        <v>#N/A</v>
      </c>
      <c r="J699" s="41"/>
      <c r="K699" s="160"/>
      <c r="L699" s="160"/>
      <c r="M699" s="46"/>
      <c r="N699" s="136"/>
      <c r="O699" s="136"/>
      <c r="P699" s="136"/>
      <c r="Q699" s="136"/>
      <c r="R699" s="136"/>
      <c r="S699" s="136"/>
      <c r="T699" s="136"/>
      <c r="U699" s="136"/>
      <c r="V699" s="136"/>
      <c r="W699" s="136"/>
      <c r="X699" s="136"/>
      <c r="Y699" s="136"/>
      <c r="Z699" s="136"/>
      <c r="AA699" s="231"/>
    </row>
    <row r="700" spans="1:27" x14ac:dyDescent="0.2">
      <c r="A700" s="39"/>
      <c r="B700" s="39"/>
      <c r="C700" s="43"/>
      <c r="D700" s="43"/>
      <c r="E700" s="43"/>
      <c r="F700" s="132"/>
      <c r="G700" s="41" t="e">
        <f>VLOOKUP(F700,Pcode!A:B,2,FALSE)</f>
        <v>#N/A</v>
      </c>
      <c r="H700" s="41"/>
      <c r="I700" s="41" t="e">
        <f>VLOOKUP(H700,Pcode!C:D,2,FALSE)</f>
        <v>#N/A</v>
      </c>
      <c r="J700" s="41"/>
      <c r="K700" s="160"/>
      <c r="L700" s="160"/>
      <c r="M700" s="46"/>
      <c r="N700" s="136"/>
      <c r="O700" s="136"/>
      <c r="P700" s="136"/>
      <c r="Q700" s="136"/>
      <c r="R700" s="136"/>
      <c r="S700" s="136"/>
      <c r="T700" s="136"/>
      <c r="U700" s="136"/>
      <c r="V700" s="136"/>
      <c r="W700" s="136"/>
      <c r="X700" s="136"/>
      <c r="Y700" s="136"/>
      <c r="Z700" s="136"/>
      <c r="AA700" s="231"/>
    </row>
    <row r="701" spans="1:27" x14ac:dyDescent="0.2">
      <c r="A701" s="39"/>
      <c r="B701" s="39"/>
      <c r="C701" s="43"/>
      <c r="D701" s="43"/>
      <c r="E701" s="43"/>
      <c r="F701" s="132"/>
      <c r="G701" s="41" t="e">
        <f>VLOOKUP(F701,Pcode!A:B,2,FALSE)</f>
        <v>#N/A</v>
      </c>
      <c r="H701" s="41"/>
      <c r="I701" s="41" t="e">
        <f>VLOOKUP(H701,Pcode!C:D,2,FALSE)</f>
        <v>#N/A</v>
      </c>
      <c r="J701" s="41"/>
      <c r="K701" s="160"/>
      <c r="L701" s="160"/>
      <c r="M701" s="46"/>
      <c r="N701" s="136"/>
      <c r="O701" s="136"/>
      <c r="P701" s="136"/>
      <c r="Q701" s="136"/>
      <c r="R701" s="136"/>
      <c r="S701" s="136"/>
      <c r="T701" s="136"/>
      <c r="U701" s="136"/>
      <c r="V701" s="136"/>
      <c r="W701" s="136"/>
      <c r="X701" s="136"/>
      <c r="Y701" s="136"/>
      <c r="Z701" s="136"/>
      <c r="AA701" s="231"/>
    </row>
    <row r="702" spans="1:27" x14ac:dyDescent="0.2">
      <c r="A702" s="39"/>
      <c r="B702" s="39"/>
      <c r="C702" s="43"/>
      <c r="D702" s="43"/>
      <c r="E702" s="43"/>
      <c r="F702" s="132"/>
      <c r="G702" s="41" t="e">
        <f>VLOOKUP(F702,Pcode!A:B,2,FALSE)</f>
        <v>#N/A</v>
      </c>
      <c r="H702" s="41"/>
      <c r="I702" s="41" t="e">
        <f>VLOOKUP(H702,Pcode!C:D,2,FALSE)</f>
        <v>#N/A</v>
      </c>
      <c r="J702" s="41"/>
      <c r="K702" s="160"/>
      <c r="L702" s="160"/>
      <c r="M702" s="46"/>
      <c r="N702" s="136"/>
      <c r="O702" s="136"/>
      <c r="P702" s="136"/>
      <c r="Q702" s="136"/>
      <c r="R702" s="136"/>
      <c r="S702" s="136"/>
      <c r="T702" s="136"/>
      <c r="U702" s="136"/>
      <c r="V702" s="136"/>
      <c r="W702" s="136"/>
      <c r="X702" s="136"/>
      <c r="Y702" s="136"/>
      <c r="Z702" s="136"/>
      <c r="AA702" s="231"/>
    </row>
    <row r="703" spans="1:27" x14ac:dyDescent="0.2">
      <c r="A703" s="39"/>
      <c r="B703" s="39"/>
      <c r="C703" s="43"/>
      <c r="D703" s="43"/>
      <c r="E703" s="43"/>
      <c r="F703" s="132"/>
      <c r="G703" s="41" t="e">
        <f>VLOOKUP(F703,Pcode!A:B,2,FALSE)</f>
        <v>#N/A</v>
      </c>
      <c r="H703" s="41"/>
      <c r="I703" s="41" t="e">
        <f>VLOOKUP(H703,Pcode!C:D,2,FALSE)</f>
        <v>#N/A</v>
      </c>
      <c r="J703" s="41"/>
      <c r="K703" s="160"/>
      <c r="L703" s="160"/>
      <c r="M703" s="46"/>
      <c r="N703" s="136"/>
      <c r="O703" s="136"/>
      <c r="P703" s="136"/>
      <c r="Q703" s="136"/>
      <c r="R703" s="136"/>
      <c r="S703" s="136"/>
      <c r="T703" s="136"/>
      <c r="U703" s="136"/>
      <c r="V703" s="136"/>
      <c r="W703" s="136"/>
      <c r="X703" s="136"/>
      <c r="Y703" s="136"/>
      <c r="Z703" s="136"/>
      <c r="AA703" s="231"/>
    </row>
    <row r="704" spans="1:27" x14ac:dyDescent="0.2">
      <c r="A704" s="39"/>
      <c r="B704" s="39"/>
      <c r="C704" s="43"/>
      <c r="D704" s="43"/>
      <c r="E704" s="43"/>
      <c r="F704" s="132"/>
      <c r="G704" s="41" t="e">
        <f>VLOOKUP(F704,Pcode!A:B,2,FALSE)</f>
        <v>#N/A</v>
      </c>
      <c r="H704" s="41"/>
      <c r="I704" s="41" t="e">
        <f>VLOOKUP(H704,Pcode!C:D,2,FALSE)</f>
        <v>#N/A</v>
      </c>
      <c r="J704" s="41"/>
      <c r="K704" s="160"/>
      <c r="L704" s="160"/>
      <c r="M704" s="46"/>
      <c r="N704" s="136"/>
      <c r="O704" s="136"/>
      <c r="P704" s="136"/>
      <c r="Q704" s="136"/>
      <c r="R704" s="136"/>
      <c r="S704" s="136"/>
      <c r="T704" s="136"/>
      <c r="U704" s="136"/>
      <c r="V704" s="136"/>
      <c r="W704" s="136"/>
      <c r="X704" s="136"/>
      <c r="Y704" s="136"/>
      <c r="Z704" s="136"/>
      <c r="AA704" s="231"/>
    </row>
    <row r="705" spans="1:27" x14ac:dyDescent="0.2">
      <c r="A705" s="39"/>
      <c r="B705" s="39"/>
      <c r="C705" s="43"/>
      <c r="D705" s="43"/>
      <c r="E705" s="43"/>
      <c r="F705" s="132"/>
      <c r="G705" s="41" t="e">
        <f>VLOOKUP(F705,Pcode!A:B,2,FALSE)</f>
        <v>#N/A</v>
      </c>
      <c r="H705" s="41"/>
      <c r="I705" s="41" t="e">
        <f>VLOOKUP(H705,Pcode!C:D,2,FALSE)</f>
        <v>#N/A</v>
      </c>
      <c r="J705" s="41"/>
      <c r="K705" s="160"/>
      <c r="L705" s="160"/>
      <c r="M705" s="46"/>
      <c r="N705" s="136"/>
      <c r="O705" s="136"/>
      <c r="P705" s="136"/>
      <c r="Q705" s="136"/>
      <c r="R705" s="136"/>
      <c r="S705" s="136"/>
      <c r="T705" s="136"/>
      <c r="U705" s="136"/>
      <c r="V705" s="136"/>
      <c r="W705" s="136"/>
      <c r="X705" s="136"/>
      <c r="Y705" s="136"/>
      <c r="Z705" s="136"/>
      <c r="AA705" s="231"/>
    </row>
    <row r="706" spans="1:27" x14ac:dyDescent="0.2">
      <c r="A706" s="39"/>
      <c r="B706" s="39"/>
      <c r="C706" s="43"/>
      <c r="D706" s="43"/>
      <c r="E706" s="43"/>
      <c r="F706" s="132"/>
      <c r="G706" s="41" t="e">
        <f>VLOOKUP(F706,Pcode!A:B,2,FALSE)</f>
        <v>#N/A</v>
      </c>
      <c r="H706" s="41"/>
      <c r="I706" s="41" t="e">
        <f>VLOOKUP(H706,Pcode!C:D,2,FALSE)</f>
        <v>#N/A</v>
      </c>
      <c r="J706" s="41"/>
      <c r="K706" s="160"/>
      <c r="L706" s="160"/>
      <c r="M706" s="46"/>
      <c r="N706" s="136"/>
      <c r="O706" s="136"/>
      <c r="P706" s="136"/>
      <c r="Q706" s="136"/>
      <c r="R706" s="136"/>
      <c r="S706" s="136"/>
      <c r="T706" s="136"/>
      <c r="U706" s="136"/>
      <c r="V706" s="136"/>
      <c r="W706" s="136"/>
      <c r="X706" s="136"/>
      <c r="Y706" s="136"/>
      <c r="Z706" s="136"/>
      <c r="AA706" s="231"/>
    </row>
    <row r="707" spans="1:27" x14ac:dyDescent="0.2">
      <c r="A707" s="39"/>
      <c r="B707" s="39"/>
      <c r="C707" s="43"/>
      <c r="D707" s="43"/>
      <c r="E707" s="43"/>
      <c r="F707" s="132"/>
      <c r="G707" s="41" t="e">
        <f>VLOOKUP(F707,Pcode!A:B,2,FALSE)</f>
        <v>#N/A</v>
      </c>
      <c r="H707" s="41"/>
      <c r="I707" s="41" t="e">
        <f>VLOOKUP(H707,Pcode!C:D,2,FALSE)</f>
        <v>#N/A</v>
      </c>
      <c r="J707" s="41"/>
      <c r="K707" s="160"/>
      <c r="L707" s="160"/>
      <c r="M707" s="46"/>
      <c r="N707" s="136"/>
      <c r="O707" s="136"/>
      <c r="P707" s="136"/>
      <c r="Q707" s="136"/>
      <c r="R707" s="136"/>
      <c r="S707" s="136"/>
      <c r="T707" s="136"/>
      <c r="U707" s="136"/>
      <c r="V707" s="136"/>
      <c r="W707" s="136"/>
      <c r="X707" s="136"/>
      <c r="Y707" s="136"/>
      <c r="Z707" s="136"/>
      <c r="AA707" s="231"/>
    </row>
    <row r="708" spans="1:27" x14ac:dyDescent="0.2">
      <c r="A708" s="39"/>
      <c r="B708" s="39"/>
      <c r="C708" s="43"/>
      <c r="D708" s="43"/>
      <c r="E708" s="43"/>
      <c r="F708" s="132"/>
      <c r="G708" s="41" t="e">
        <f>VLOOKUP(F708,Pcode!A:B,2,FALSE)</f>
        <v>#N/A</v>
      </c>
      <c r="H708" s="41"/>
      <c r="I708" s="41" t="e">
        <f>VLOOKUP(H708,Pcode!C:D,2,FALSE)</f>
        <v>#N/A</v>
      </c>
      <c r="J708" s="41"/>
      <c r="K708" s="160"/>
      <c r="L708" s="160"/>
      <c r="M708" s="46"/>
      <c r="N708" s="136"/>
      <c r="O708" s="136"/>
      <c r="P708" s="136"/>
      <c r="Q708" s="136"/>
      <c r="R708" s="136"/>
      <c r="S708" s="136"/>
      <c r="T708" s="136"/>
      <c r="U708" s="136"/>
      <c r="V708" s="136"/>
      <c r="W708" s="136"/>
      <c r="X708" s="136"/>
      <c r="Y708" s="136"/>
      <c r="Z708" s="136"/>
      <c r="AA708" s="231"/>
    </row>
    <row r="709" spans="1:27" x14ac:dyDescent="0.2">
      <c r="A709" s="39"/>
      <c r="B709" s="39"/>
      <c r="C709" s="43"/>
      <c r="D709" s="43"/>
      <c r="E709" s="43"/>
      <c r="F709" s="132"/>
      <c r="G709" s="41" t="e">
        <f>VLOOKUP(F709,Pcode!A:B,2,FALSE)</f>
        <v>#N/A</v>
      </c>
      <c r="H709" s="41"/>
      <c r="I709" s="41" t="e">
        <f>VLOOKUP(H709,Pcode!C:D,2,FALSE)</f>
        <v>#N/A</v>
      </c>
      <c r="J709" s="41"/>
      <c r="K709" s="160"/>
      <c r="L709" s="160"/>
      <c r="M709" s="46"/>
      <c r="N709" s="136"/>
      <c r="O709" s="136"/>
      <c r="P709" s="136"/>
      <c r="Q709" s="136"/>
      <c r="R709" s="136"/>
      <c r="S709" s="136"/>
      <c r="T709" s="136"/>
      <c r="U709" s="136"/>
      <c r="V709" s="136"/>
      <c r="W709" s="136"/>
      <c r="X709" s="136"/>
      <c r="Y709" s="136"/>
      <c r="Z709" s="136"/>
      <c r="AA709" s="231"/>
    </row>
    <row r="710" spans="1:27" x14ac:dyDescent="0.2">
      <c r="A710" s="39"/>
      <c r="B710" s="39"/>
      <c r="C710" s="43"/>
      <c r="D710" s="43"/>
      <c r="E710" s="43"/>
      <c r="F710" s="132"/>
      <c r="G710" s="41" t="e">
        <f>VLOOKUP(F710,Pcode!A:B,2,FALSE)</f>
        <v>#N/A</v>
      </c>
      <c r="H710" s="41"/>
      <c r="I710" s="41" t="e">
        <f>VLOOKUP(H710,Pcode!C:D,2,FALSE)</f>
        <v>#N/A</v>
      </c>
      <c r="J710" s="41"/>
      <c r="K710" s="160"/>
      <c r="L710" s="160"/>
      <c r="M710" s="46"/>
      <c r="N710" s="136"/>
      <c r="O710" s="136"/>
      <c r="P710" s="136"/>
      <c r="Q710" s="136"/>
      <c r="R710" s="136"/>
      <c r="S710" s="136"/>
      <c r="T710" s="136"/>
      <c r="U710" s="136"/>
      <c r="V710" s="136"/>
      <c r="W710" s="136"/>
      <c r="X710" s="136"/>
      <c r="Y710" s="136"/>
      <c r="Z710" s="136"/>
      <c r="AA710" s="231"/>
    </row>
    <row r="711" spans="1:27" x14ac:dyDescent="0.2">
      <c r="A711" s="39"/>
      <c r="B711" s="39"/>
      <c r="C711" s="43"/>
      <c r="D711" s="43"/>
      <c r="E711" s="43"/>
      <c r="F711" s="132"/>
      <c r="G711" s="41" t="e">
        <f>VLOOKUP(F711,Pcode!A:B,2,FALSE)</f>
        <v>#N/A</v>
      </c>
      <c r="H711" s="41"/>
      <c r="I711" s="41" t="e">
        <f>VLOOKUP(H711,Pcode!C:D,2,FALSE)</f>
        <v>#N/A</v>
      </c>
      <c r="J711" s="41"/>
      <c r="K711" s="160"/>
      <c r="L711" s="160"/>
      <c r="M711" s="46"/>
      <c r="N711" s="136"/>
      <c r="O711" s="136"/>
      <c r="P711" s="136"/>
      <c r="Q711" s="136"/>
      <c r="R711" s="136"/>
      <c r="S711" s="136"/>
      <c r="T711" s="136"/>
      <c r="U711" s="136"/>
      <c r="V711" s="136"/>
      <c r="W711" s="136"/>
      <c r="X711" s="136"/>
      <c r="Y711" s="136"/>
      <c r="Z711" s="136"/>
      <c r="AA711" s="231"/>
    </row>
    <row r="712" spans="1:27" x14ac:dyDescent="0.2">
      <c r="A712" s="39"/>
      <c r="B712" s="39"/>
      <c r="C712" s="43"/>
      <c r="D712" s="43"/>
      <c r="E712" s="43"/>
      <c r="F712" s="132"/>
      <c r="G712" s="41" t="e">
        <f>VLOOKUP(F712,Pcode!A:B,2,FALSE)</f>
        <v>#N/A</v>
      </c>
      <c r="H712" s="41"/>
      <c r="I712" s="41" t="e">
        <f>VLOOKUP(H712,Pcode!C:D,2,FALSE)</f>
        <v>#N/A</v>
      </c>
      <c r="J712" s="41"/>
      <c r="K712" s="160"/>
      <c r="L712" s="160"/>
      <c r="M712" s="46"/>
      <c r="N712" s="136"/>
      <c r="O712" s="136"/>
      <c r="P712" s="136"/>
      <c r="Q712" s="136"/>
      <c r="R712" s="136"/>
      <c r="S712" s="136"/>
      <c r="T712" s="136"/>
      <c r="U712" s="136"/>
      <c r="V712" s="136"/>
      <c r="W712" s="136"/>
      <c r="X712" s="136"/>
      <c r="Y712" s="136"/>
      <c r="Z712" s="136"/>
      <c r="AA712" s="231"/>
    </row>
    <row r="713" spans="1:27" x14ac:dyDescent="0.2">
      <c r="A713" s="39"/>
      <c r="B713" s="39"/>
      <c r="C713" s="43"/>
      <c r="D713" s="43"/>
      <c r="E713" s="43"/>
      <c r="F713" s="132"/>
      <c r="G713" s="41" t="e">
        <f>VLOOKUP(F713,Pcode!A:B,2,FALSE)</f>
        <v>#N/A</v>
      </c>
      <c r="H713" s="41"/>
      <c r="I713" s="41" t="e">
        <f>VLOOKUP(H713,Pcode!C:D,2,FALSE)</f>
        <v>#N/A</v>
      </c>
      <c r="J713" s="41"/>
      <c r="K713" s="160"/>
      <c r="L713" s="160"/>
      <c r="M713" s="46"/>
      <c r="N713" s="136"/>
      <c r="O713" s="136"/>
      <c r="P713" s="136"/>
      <c r="Q713" s="136"/>
      <c r="R713" s="136"/>
      <c r="S713" s="136"/>
      <c r="T713" s="136"/>
      <c r="U713" s="136"/>
      <c r="V713" s="136"/>
      <c r="W713" s="136"/>
      <c r="X713" s="136"/>
      <c r="Y713" s="136"/>
      <c r="Z713" s="136"/>
      <c r="AA713" s="231"/>
    </row>
    <row r="714" spans="1:27" x14ac:dyDescent="0.2">
      <c r="A714" s="39"/>
      <c r="B714" s="39"/>
      <c r="C714" s="43"/>
      <c r="D714" s="43"/>
      <c r="E714" s="43"/>
      <c r="F714" s="132"/>
      <c r="G714" s="41" t="e">
        <f>VLOOKUP(F714,Pcode!A:B,2,FALSE)</f>
        <v>#N/A</v>
      </c>
      <c r="H714" s="41"/>
      <c r="I714" s="41" t="e">
        <f>VLOOKUP(H714,Pcode!C:D,2,FALSE)</f>
        <v>#N/A</v>
      </c>
      <c r="J714" s="41"/>
      <c r="K714" s="160"/>
      <c r="L714" s="160"/>
      <c r="M714" s="46"/>
      <c r="N714" s="136"/>
      <c r="O714" s="136"/>
      <c r="P714" s="136"/>
      <c r="Q714" s="136"/>
      <c r="R714" s="136"/>
      <c r="S714" s="136"/>
      <c r="T714" s="136"/>
      <c r="U714" s="136"/>
      <c r="V714" s="136"/>
      <c r="W714" s="136"/>
      <c r="X714" s="136"/>
      <c r="Y714" s="136"/>
      <c r="Z714" s="136"/>
      <c r="AA714" s="231"/>
    </row>
    <row r="715" spans="1:27" x14ac:dyDescent="0.2">
      <c r="A715" s="39"/>
      <c r="B715" s="39"/>
      <c r="C715" s="43"/>
      <c r="D715" s="43"/>
      <c r="E715" s="43"/>
      <c r="F715" s="132"/>
      <c r="G715" s="41" t="e">
        <f>VLOOKUP(F715,Pcode!A:B,2,FALSE)</f>
        <v>#N/A</v>
      </c>
      <c r="H715" s="41"/>
      <c r="I715" s="41" t="e">
        <f>VLOOKUP(H715,Pcode!C:D,2,FALSE)</f>
        <v>#N/A</v>
      </c>
      <c r="J715" s="41"/>
      <c r="K715" s="160"/>
      <c r="L715" s="160"/>
      <c r="M715" s="46"/>
      <c r="N715" s="136"/>
      <c r="O715" s="136"/>
      <c r="P715" s="136"/>
      <c r="Q715" s="136"/>
      <c r="R715" s="136"/>
      <c r="S715" s="136"/>
      <c r="T715" s="136"/>
      <c r="U715" s="136"/>
      <c r="V715" s="136"/>
      <c r="W715" s="136"/>
      <c r="X715" s="136"/>
      <c r="Y715" s="136"/>
      <c r="Z715" s="136"/>
      <c r="AA715" s="231"/>
    </row>
    <row r="716" spans="1:27" x14ac:dyDescent="0.2">
      <c r="A716" s="39"/>
      <c r="B716" s="39"/>
      <c r="C716" s="43"/>
      <c r="D716" s="43"/>
      <c r="E716" s="43"/>
      <c r="F716" s="132"/>
      <c r="G716" s="41" t="e">
        <f>VLOOKUP(F716,Pcode!A:B,2,FALSE)</f>
        <v>#N/A</v>
      </c>
      <c r="H716" s="41"/>
      <c r="I716" s="41" t="e">
        <f>VLOOKUP(H716,Pcode!C:D,2,FALSE)</f>
        <v>#N/A</v>
      </c>
      <c r="J716" s="41"/>
      <c r="K716" s="160"/>
      <c r="L716" s="160"/>
      <c r="M716" s="46"/>
      <c r="N716" s="136"/>
      <c r="O716" s="136"/>
      <c r="P716" s="136"/>
      <c r="Q716" s="136"/>
      <c r="R716" s="136"/>
      <c r="S716" s="136"/>
      <c r="T716" s="136"/>
      <c r="U716" s="136"/>
      <c r="V716" s="136"/>
      <c r="W716" s="136"/>
      <c r="X716" s="136"/>
      <c r="Y716" s="136"/>
      <c r="Z716" s="136"/>
      <c r="AA716" s="231"/>
    </row>
    <row r="717" spans="1:27" x14ac:dyDescent="0.2">
      <c r="A717" s="39"/>
      <c r="B717" s="39"/>
      <c r="C717" s="43"/>
      <c r="D717" s="43"/>
      <c r="E717" s="43"/>
      <c r="F717" s="132"/>
      <c r="G717" s="41" t="e">
        <f>VLOOKUP(F717,Pcode!A:B,2,FALSE)</f>
        <v>#N/A</v>
      </c>
      <c r="H717" s="41"/>
      <c r="I717" s="41" t="e">
        <f>VLOOKUP(H717,Pcode!C:D,2,FALSE)</f>
        <v>#N/A</v>
      </c>
      <c r="J717" s="41"/>
      <c r="K717" s="160"/>
      <c r="L717" s="160"/>
      <c r="M717" s="46"/>
      <c r="N717" s="136"/>
      <c r="O717" s="136"/>
      <c r="P717" s="136"/>
      <c r="Q717" s="136"/>
      <c r="R717" s="136"/>
      <c r="S717" s="136"/>
      <c r="T717" s="136"/>
      <c r="U717" s="136"/>
      <c r="V717" s="136"/>
      <c r="W717" s="136"/>
      <c r="X717" s="136"/>
      <c r="Y717" s="136"/>
      <c r="Z717" s="136"/>
      <c r="AA717" s="231"/>
    </row>
    <row r="718" spans="1:27" x14ac:dyDescent="0.2">
      <c r="A718" s="39"/>
      <c r="B718" s="39"/>
      <c r="C718" s="43"/>
      <c r="D718" s="43"/>
      <c r="E718" s="43"/>
      <c r="F718" s="132"/>
      <c r="G718" s="41" t="e">
        <f>VLOOKUP(F718,Pcode!A:B,2,FALSE)</f>
        <v>#N/A</v>
      </c>
      <c r="H718" s="41"/>
      <c r="I718" s="41" t="e">
        <f>VLOOKUP(H718,Pcode!C:D,2,FALSE)</f>
        <v>#N/A</v>
      </c>
      <c r="J718" s="41"/>
      <c r="K718" s="160"/>
      <c r="L718" s="160"/>
      <c r="M718" s="46"/>
      <c r="N718" s="136"/>
      <c r="O718" s="136"/>
      <c r="P718" s="136"/>
      <c r="Q718" s="136"/>
      <c r="R718" s="136"/>
      <c r="S718" s="136"/>
      <c r="T718" s="136"/>
      <c r="U718" s="136"/>
      <c r="V718" s="136"/>
      <c r="W718" s="136"/>
      <c r="X718" s="136"/>
      <c r="Y718" s="136"/>
      <c r="Z718" s="136"/>
      <c r="AA718" s="231"/>
    </row>
    <row r="719" spans="1:27" x14ac:dyDescent="0.2">
      <c r="A719" s="39"/>
      <c r="B719" s="39"/>
      <c r="C719" s="43"/>
      <c r="D719" s="43"/>
      <c r="E719" s="43"/>
      <c r="F719" s="132"/>
      <c r="G719" s="41" t="e">
        <f>VLOOKUP(F719,Pcode!A:B,2,FALSE)</f>
        <v>#N/A</v>
      </c>
      <c r="H719" s="41"/>
      <c r="I719" s="41" t="e">
        <f>VLOOKUP(H719,Pcode!C:D,2,FALSE)</f>
        <v>#N/A</v>
      </c>
      <c r="J719" s="41"/>
      <c r="K719" s="160"/>
      <c r="L719" s="160"/>
      <c r="M719" s="46"/>
      <c r="N719" s="136"/>
      <c r="O719" s="136"/>
      <c r="P719" s="136"/>
      <c r="Q719" s="136"/>
      <c r="R719" s="136"/>
      <c r="S719" s="136"/>
      <c r="T719" s="136"/>
      <c r="U719" s="136"/>
      <c r="V719" s="136"/>
      <c r="W719" s="136"/>
      <c r="X719" s="136"/>
      <c r="Y719" s="136"/>
      <c r="Z719" s="136"/>
      <c r="AA719" s="231"/>
    </row>
    <row r="720" spans="1:27" x14ac:dyDescent="0.2">
      <c r="A720" s="39"/>
      <c r="B720" s="39"/>
      <c r="C720" s="43"/>
      <c r="D720" s="43"/>
      <c r="E720" s="43"/>
      <c r="F720" s="132"/>
      <c r="G720" s="41" t="e">
        <f>VLOOKUP(F720,Pcode!A:B,2,FALSE)</f>
        <v>#N/A</v>
      </c>
      <c r="H720" s="41"/>
      <c r="I720" s="41" t="e">
        <f>VLOOKUP(H720,Pcode!C:D,2,FALSE)</f>
        <v>#N/A</v>
      </c>
      <c r="J720" s="41"/>
      <c r="K720" s="160"/>
      <c r="L720" s="160"/>
      <c r="M720" s="46"/>
      <c r="N720" s="136"/>
      <c r="O720" s="136"/>
      <c r="P720" s="136"/>
      <c r="Q720" s="136"/>
      <c r="R720" s="136"/>
      <c r="S720" s="136"/>
      <c r="T720" s="136"/>
      <c r="U720" s="136"/>
      <c r="V720" s="136"/>
      <c r="W720" s="136"/>
      <c r="X720" s="136"/>
      <c r="Y720" s="136"/>
      <c r="Z720" s="136"/>
      <c r="AA720" s="231"/>
    </row>
    <row r="721" spans="1:27" x14ac:dyDescent="0.2">
      <c r="A721" s="39"/>
      <c r="B721" s="39"/>
      <c r="C721" s="43"/>
      <c r="D721" s="43"/>
      <c r="E721" s="43"/>
      <c r="F721" s="132"/>
      <c r="G721" s="41" t="e">
        <f>VLOOKUP(F721,Pcode!A:B,2,FALSE)</f>
        <v>#N/A</v>
      </c>
      <c r="H721" s="41"/>
      <c r="I721" s="41" t="e">
        <f>VLOOKUP(H721,Pcode!C:D,2,FALSE)</f>
        <v>#N/A</v>
      </c>
      <c r="J721" s="41"/>
      <c r="K721" s="160"/>
      <c r="L721" s="160"/>
      <c r="M721" s="46"/>
      <c r="N721" s="136"/>
      <c r="O721" s="136"/>
      <c r="P721" s="136"/>
      <c r="Q721" s="136"/>
      <c r="R721" s="136"/>
      <c r="S721" s="136"/>
      <c r="T721" s="136"/>
      <c r="U721" s="136"/>
      <c r="V721" s="136"/>
      <c r="W721" s="136"/>
      <c r="X721" s="136"/>
      <c r="Y721" s="136"/>
      <c r="Z721" s="136"/>
      <c r="AA721" s="231"/>
    </row>
    <row r="722" spans="1:27" x14ac:dyDescent="0.2">
      <c r="A722" s="39"/>
      <c r="B722" s="39"/>
      <c r="C722" s="43"/>
      <c r="D722" s="43"/>
      <c r="E722" s="43"/>
      <c r="F722" s="132"/>
      <c r="G722" s="41" t="e">
        <f>VLOOKUP(F722,Pcode!A:B,2,FALSE)</f>
        <v>#N/A</v>
      </c>
      <c r="H722" s="41"/>
      <c r="I722" s="41" t="e">
        <f>VLOOKUP(H722,Pcode!C:D,2,FALSE)</f>
        <v>#N/A</v>
      </c>
      <c r="J722" s="41"/>
      <c r="K722" s="160"/>
      <c r="L722" s="160"/>
      <c r="M722" s="46"/>
      <c r="N722" s="136"/>
      <c r="O722" s="136"/>
      <c r="P722" s="136"/>
      <c r="Q722" s="136"/>
      <c r="R722" s="136"/>
      <c r="S722" s="136"/>
      <c r="T722" s="136"/>
      <c r="U722" s="136"/>
      <c r="V722" s="136"/>
      <c r="W722" s="136"/>
      <c r="X722" s="136"/>
      <c r="Y722" s="136"/>
      <c r="Z722" s="136"/>
      <c r="AA722" s="231"/>
    </row>
    <row r="723" spans="1:27" x14ac:dyDescent="0.2">
      <c r="A723" s="39"/>
      <c r="B723" s="39"/>
      <c r="C723" s="43"/>
      <c r="D723" s="43"/>
      <c r="E723" s="43"/>
      <c r="F723" s="132"/>
      <c r="G723" s="41" t="e">
        <f>VLOOKUP(F723,Pcode!A:B,2,FALSE)</f>
        <v>#N/A</v>
      </c>
      <c r="H723" s="41"/>
      <c r="I723" s="41" t="e">
        <f>VLOOKUP(H723,Pcode!C:D,2,FALSE)</f>
        <v>#N/A</v>
      </c>
      <c r="J723" s="41"/>
      <c r="K723" s="160"/>
      <c r="L723" s="160"/>
      <c r="M723" s="46"/>
      <c r="N723" s="136"/>
      <c r="O723" s="136"/>
      <c r="P723" s="136"/>
      <c r="Q723" s="136"/>
      <c r="R723" s="136"/>
      <c r="S723" s="136"/>
      <c r="T723" s="136"/>
      <c r="U723" s="136"/>
      <c r="V723" s="136"/>
      <c r="W723" s="136"/>
      <c r="X723" s="136"/>
      <c r="Y723" s="136"/>
      <c r="Z723" s="136"/>
      <c r="AA723" s="231"/>
    </row>
    <row r="724" spans="1:27" x14ac:dyDescent="0.2">
      <c r="A724" s="39"/>
      <c r="B724" s="39"/>
      <c r="C724" s="43"/>
      <c r="D724" s="43"/>
      <c r="E724" s="43"/>
      <c r="F724" s="132"/>
      <c r="G724" s="41" t="e">
        <f>VLOOKUP(F724,Pcode!A:B,2,FALSE)</f>
        <v>#N/A</v>
      </c>
      <c r="H724" s="41"/>
      <c r="I724" s="41" t="e">
        <f>VLOOKUP(H724,Pcode!C:D,2,FALSE)</f>
        <v>#N/A</v>
      </c>
      <c r="J724" s="41"/>
      <c r="K724" s="160"/>
      <c r="L724" s="160"/>
      <c r="M724" s="46"/>
      <c r="N724" s="136"/>
      <c r="O724" s="136"/>
      <c r="P724" s="136"/>
      <c r="Q724" s="136"/>
      <c r="R724" s="136"/>
      <c r="S724" s="136"/>
      <c r="T724" s="136"/>
      <c r="U724" s="136"/>
      <c r="V724" s="136"/>
      <c r="W724" s="136"/>
      <c r="X724" s="136"/>
      <c r="Y724" s="136"/>
      <c r="Z724" s="136"/>
      <c r="AA724" s="231"/>
    </row>
    <row r="725" spans="1:27" x14ac:dyDescent="0.2">
      <c r="A725" s="39"/>
      <c r="B725" s="39"/>
      <c r="C725" s="43"/>
      <c r="D725" s="43"/>
      <c r="E725" s="43"/>
      <c r="F725" s="132"/>
      <c r="G725" s="41" t="e">
        <f>VLOOKUP(F725,Pcode!A:B,2,FALSE)</f>
        <v>#N/A</v>
      </c>
      <c r="H725" s="41"/>
      <c r="I725" s="41" t="e">
        <f>VLOOKUP(H725,Pcode!C:D,2,FALSE)</f>
        <v>#N/A</v>
      </c>
      <c r="J725" s="41"/>
      <c r="K725" s="160"/>
      <c r="L725" s="160"/>
      <c r="M725" s="46"/>
      <c r="N725" s="136"/>
      <c r="O725" s="136"/>
      <c r="P725" s="136"/>
      <c r="Q725" s="136"/>
      <c r="R725" s="136"/>
      <c r="S725" s="136"/>
      <c r="T725" s="136"/>
      <c r="U725" s="136"/>
      <c r="V725" s="136"/>
      <c r="W725" s="136"/>
      <c r="X725" s="136"/>
      <c r="Y725" s="136"/>
      <c r="Z725" s="136"/>
      <c r="AA725" s="231"/>
    </row>
    <row r="726" spans="1:27" x14ac:dyDescent="0.2">
      <c r="A726" s="39"/>
      <c r="B726" s="39"/>
      <c r="C726" s="43"/>
      <c r="D726" s="43"/>
      <c r="E726" s="43"/>
      <c r="F726" s="132"/>
      <c r="G726" s="41" t="e">
        <f>VLOOKUP(F726,Pcode!A:B,2,FALSE)</f>
        <v>#N/A</v>
      </c>
      <c r="H726" s="41"/>
      <c r="I726" s="41" t="e">
        <f>VLOOKUP(H726,Pcode!C:D,2,FALSE)</f>
        <v>#N/A</v>
      </c>
      <c r="J726" s="41"/>
      <c r="K726" s="160"/>
      <c r="L726" s="160"/>
      <c r="M726" s="46"/>
      <c r="N726" s="136"/>
      <c r="O726" s="136"/>
      <c r="P726" s="136"/>
      <c r="Q726" s="136"/>
      <c r="R726" s="136"/>
      <c r="S726" s="136"/>
      <c r="T726" s="136"/>
      <c r="U726" s="136"/>
      <c r="V726" s="136"/>
      <c r="W726" s="136"/>
      <c r="X726" s="136"/>
      <c r="Y726" s="136"/>
      <c r="Z726" s="136"/>
      <c r="AA726" s="231"/>
    </row>
    <row r="727" spans="1:27" x14ac:dyDescent="0.2">
      <c r="A727" s="39"/>
      <c r="B727" s="39"/>
      <c r="C727" s="43"/>
      <c r="D727" s="43"/>
      <c r="E727" s="43"/>
      <c r="F727" s="132"/>
      <c r="G727" s="41" t="e">
        <f>VLOOKUP(F727,Pcode!A:B,2,FALSE)</f>
        <v>#N/A</v>
      </c>
      <c r="H727" s="41"/>
      <c r="I727" s="41" t="e">
        <f>VLOOKUP(H727,Pcode!C:D,2,FALSE)</f>
        <v>#N/A</v>
      </c>
      <c r="J727" s="41"/>
      <c r="K727" s="160"/>
      <c r="L727" s="160"/>
      <c r="M727" s="46"/>
      <c r="N727" s="136"/>
      <c r="O727" s="136"/>
      <c r="P727" s="136"/>
      <c r="Q727" s="136"/>
      <c r="R727" s="136"/>
      <c r="S727" s="136"/>
      <c r="T727" s="136"/>
      <c r="U727" s="136"/>
      <c r="V727" s="136"/>
      <c r="W727" s="136"/>
      <c r="X727" s="136"/>
      <c r="Y727" s="136"/>
      <c r="Z727" s="136"/>
      <c r="AA727" s="231"/>
    </row>
    <row r="728" spans="1:27" x14ac:dyDescent="0.2">
      <c r="A728" s="39"/>
      <c r="B728" s="39"/>
      <c r="C728" s="43"/>
      <c r="D728" s="43"/>
      <c r="E728" s="43"/>
      <c r="F728" s="132"/>
      <c r="G728" s="41" t="e">
        <f>VLOOKUP(F728,Pcode!A:B,2,FALSE)</f>
        <v>#N/A</v>
      </c>
      <c r="H728" s="41"/>
      <c r="I728" s="41" t="e">
        <f>VLOOKUP(H728,Pcode!C:D,2,FALSE)</f>
        <v>#N/A</v>
      </c>
      <c r="J728" s="41"/>
      <c r="K728" s="160"/>
      <c r="L728" s="160"/>
      <c r="M728" s="46"/>
      <c r="N728" s="136"/>
      <c r="O728" s="136"/>
      <c r="P728" s="136"/>
      <c r="Q728" s="136"/>
      <c r="R728" s="136"/>
      <c r="S728" s="136"/>
      <c r="T728" s="136"/>
      <c r="U728" s="136"/>
      <c r="V728" s="136"/>
      <c r="W728" s="136"/>
      <c r="X728" s="136"/>
      <c r="Y728" s="136"/>
      <c r="Z728" s="136"/>
      <c r="AA728" s="231"/>
    </row>
    <row r="729" spans="1:27" x14ac:dyDescent="0.2">
      <c r="A729" s="39"/>
      <c r="B729" s="39"/>
      <c r="C729" s="43"/>
      <c r="D729" s="43"/>
      <c r="E729" s="43"/>
      <c r="F729" s="132"/>
      <c r="G729" s="41" t="e">
        <f>VLOOKUP(F729,Pcode!A:B,2,FALSE)</f>
        <v>#N/A</v>
      </c>
      <c r="H729" s="41"/>
      <c r="I729" s="41" t="e">
        <f>VLOOKUP(H729,Pcode!C:D,2,FALSE)</f>
        <v>#N/A</v>
      </c>
      <c r="J729" s="41"/>
      <c r="K729" s="160"/>
      <c r="L729" s="160"/>
      <c r="M729" s="46"/>
      <c r="N729" s="136"/>
      <c r="O729" s="136"/>
      <c r="P729" s="136"/>
      <c r="Q729" s="136"/>
      <c r="R729" s="136"/>
      <c r="S729" s="136"/>
      <c r="T729" s="136"/>
      <c r="U729" s="136"/>
      <c r="V729" s="136"/>
      <c r="W729" s="136"/>
      <c r="X729" s="136"/>
      <c r="Y729" s="136"/>
      <c r="Z729" s="136"/>
      <c r="AA729" s="231"/>
    </row>
    <row r="730" spans="1:27" x14ac:dyDescent="0.2">
      <c r="A730" s="39"/>
      <c r="B730" s="39"/>
      <c r="C730" s="43"/>
      <c r="D730" s="43"/>
      <c r="E730" s="43"/>
      <c r="F730" s="132"/>
      <c r="G730" s="41" t="e">
        <f>VLOOKUP(F730,Pcode!A:B,2,FALSE)</f>
        <v>#N/A</v>
      </c>
      <c r="H730" s="41"/>
      <c r="I730" s="41" t="e">
        <f>VLOOKUP(H730,Pcode!C:D,2,FALSE)</f>
        <v>#N/A</v>
      </c>
      <c r="J730" s="41"/>
      <c r="K730" s="160"/>
      <c r="L730" s="160"/>
      <c r="M730" s="46"/>
      <c r="N730" s="136"/>
      <c r="O730" s="136"/>
      <c r="P730" s="136"/>
      <c r="Q730" s="136"/>
      <c r="R730" s="136"/>
      <c r="S730" s="136"/>
      <c r="T730" s="136"/>
      <c r="U730" s="136"/>
      <c r="V730" s="136"/>
      <c r="W730" s="136"/>
      <c r="X730" s="136"/>
      <c r="Y730" s="136"/>
      <c r="Z730" s="136"/>
      <c r="AA730" s="231"/>
    </row>
    <row r="731" spans="1:27" x14ac:dyDescent="0.2">
      <c r="A731" s="39"/>
      <c r="B731" s="39"/>
      <c r="C731" s="43"/>
      <c r="D731" s="43"/>
      <c r="E731" s="43"/>
      <c r="F731" s="132"/>
      <c r="G731" s="41" t="e">
        <f>VLOOKUP(F731,Pcode!A:B,2,FALSE)</f>
        <v>#N/A</v>
      </c>
      <c r="H731" s="41"/>
      <c r="I731" s="41" t="e">
        <f>VLOOKUP(H731,Pcode!C:D,2,FALSE)</f>
        <v>#N/A</v>
      </c>
      <c r="J731" s="41"/>
      <c r="K731" s="160"/>
      <c r="L731" s="160"/>
      <c r="M731" s="46"/>
      <c r="N731" s="136"/>
      <c r="O731" s="136"/>
      <c r="P731" s="136"/>
      <c r="Q731" s="136"/>
      <c r="R731" s="136"/>
      <c r="S731" s="136"/>
      <c r="T731" s="136"/>
      <c r="U731" s="136"/>
      <c r="V731" s="136"/>
      <c r="W731" s="136"/>
      <c r="X731" s="136"/>
      <c r="Y731" s="136"/>
      <c r="Z731" s="136"/>
      <c r="AA731" s="231"/>
    </row>
    <row r="732" spans="1:27" x14ac:dyDescent="0.2">
      <c r="A732" s="39"/>
      <c r="B732" s="39"/>
      <c r="C732" s="43"/>
      <c r="D732" s="43"/>
      <c r="E732" s="43"/>
      <c r="F732" s="132"/>
      <c r="G732" s="41" t="e">
        <f>VLOOKUP(F732,Pcode!A:B,2,FALSE)</f>
        <v>#N/A</v>
      </c>
      <c r="H732" s="41"/>
      <c r="I732" s="41" t="e">
        <f>VLOOKUP(H732,Pcode!C:D,2,FALSE)</f>
        <v>#N/A</v>
      </c>
      <c r="J732" s="41"/>
      <c r="K732" s="160"/>
      <c r="L732" s="160"/>
      <c r="M732" s="46"/>
      <c r="N732" s="136"/>
      <c r="O732" s="136"/>
      <c r="P732" s="136"/>
      <c r="Q732" s="136"/>
      <c r="R732" s="136"/>
      <c r="S732" s="136"/>
      <c r="T732" s="136"/>
      <c r="U732" s="136"/>
      <c r="V732" s="136"/>
      <c r="W732" s="136"/>
      <c r="X732" s="136"/>
      <c r="Y732" s="136"/>
      <c r="Z732" s="136"/>
      <c r="AA732" s="231"/>
    </row>
    <row r="733" spans="1:27" x14ac:dyDescent="0.2">
      <c r="A733" s="39"/>
      <c r="B733" s="39"/>
      <c r="C733" s="43"/>
      <c r="D733" s="43"/>
      <c r="E733" s="43"/>
      <c r="F733" s="132"/>
      <c r="G733" s="41" t="e">
        <f>VLOOKUP(F733,Pcode!A:B,2,FALSE)</f>
        <v>#N/A</v>
      </c>
      <c r="H733" s="41"/>
      <c r="I733" s="41" t="e">
        <f>VLOOKUP(H733,Pcode!C:D,2,FALSE)</f>
        <v>#N/A</v>
      </c>
      <c r="J733" s="41"/>
      <c r="K733" s="160"/>
      <c r="L733" s="160"/>
      <c r="M733" s="46"/>
      <c r="N733" s="136"/>
      <c r="O733" s="136"/>
      <c r="P733" s="136"/>
      <c r="Q733" s="136"/>
      <c r="R733" s="136"/>
      <c r="S733" s="136"/>
      <c r="T733" s="136"/>
      <c r="U733" s="136"/>
      <c r="V733" s="136"/>
      <c r="W733" s="136"/>
      <c r="X733" s="136"/>
      <c r="Y733" s="136"/>
      <c r="Z733" s="136"/>
      <c r="AA733" s="231"/>
    </row>
    <row r="734" spans="1:27" x14ac:dyDescent="0.2">
      <c r="A734" s="39"/>
      <c r="B734" s="39"/>
      <c r="C734" s="43"/>
      <c r="D734" s="43"/>
      <c r="E734" s="43"/>
      <c r="F734" s="132"/>
      <c r="G734" s="41" t="e">
        <f>VLOOKUP(F734,Pcode!A:B,2,FALSE)</f>
        <v>#N/A</v>
      </c>
      <c r="H734" s="41"/>
      <c r="I734" s="41" t="e">
        <f>VLOOKUP(H734,Pcode!C:D,2,FALSE)</f>
        <v>#N/A</v>
      </c>
      <c r="J734" s="41"/>
      <c r="K734" s="160"/>
      <c r="L734" s="160"/>
      <c r="M734" s="46"/>
      <c r="N734" s="136"/>
      <c r="O734" s="136"/>
      <c r="P734" s="136"/>
      <c r="Q734" s="136"/>
      <c r="R734" s="136"/>
      <c r="S734" s="136"/>
      <c r="T734" s="136"/>
      <c r="U734" s="136"/>
      <c r="V734" s="136"/>
      <c r="W734" s="136"/>
      <c r="X734" s="136"/>
      <c r="Y734" s="136"/>
      <c r="Z734" s="136"/>
      <c r="AA734" s="231"/>
    </row>
    <row r="735" spans="1:27" x14ac:dyDescent="0.2">
      <c r="A735" s="39"/>
      <c r="B735" s="39"/>
      <c r="C735" s="43"/>
      <c r="D735" s="43"/>
      <c r="E735" s="43"/>
      <c r="F735" s="132"/>
      <c r="G735" s="41" t="e">
        <f>VLOOKUP(F735,Pcode!A:B,2,FALSE)</f>
        <v>#N/A</v>
      </c>
      <c r="H735" s="41"/>
      <c r="I735" s="41" t="e">
        <f>VLOOKUP(H735,Pcode!C:D,2,FALSE)</f>
        <v>#N/A</v>
      </c>
      <c r="J735" s="41"/>
      <c r="K735" s="160"/>
      <c r="L735" s="160"/>
      <c r="M735" s="46"/>
      <c r="N735" s="136"/>
      <c r="O735" s="136"/>
      <c r="P735" s="136"/>
      <c r="Q735" s="136"/>
      <c r="R735" s="136"/>
      <c r="S735" s="136"/>
      <c r="T735" s="136"/>
      <c r="U735" s="136"/>
      <c r="V735" s="136"/>
      <c r="W735" s="136"/>
      <c r="X735" s="136"/>
      <c r="Y735" s="136"/>
      <c r="Z735" s="136"/>
      <c r="AA735" s="231"/>
    </row>
    <row r="736" spans="1:27" x14ac:dyDescent="0.2">
      <c r="A736" s="39"/>
      <c r="B736" s="39"/>
      <c r="C736" s="43"/>
      <c r="D736" s="43"/>
      <c r="E736" s="43"/>
      <c r="F736" s="132"/>
      <c r="G736" s="41" t="e">
        <f>VLOOKUP(F736,Pcode!A:B,2,FALSE)</f>
        <v>#N/A</v>
      </c>
      <c r="H736" s="41"/>
      <c r="I736" s="41" t="e">
        <f>VLOOKUP(H736,Pcode!C:D,2,FALSE)</f>
        <v>#N/A</v>
      </c>
      <c r="J736" s="41"/>
      <c r="K736" s="160"/>
      <c r="L736" s="160"/>
      <c r="M736" s="46"/>
      <c r="N736" s="136"/>
      <c r="O736" s="136"/>
      <c r="P736" s="136"/>
      <c r="Q736" s="136"/>
      <c r="R736" s="136"/>
      <c r="S736" s="136"/>
      <c r="T736" s="136"/>
      <c r="U736" s="136"/>
      <c r="V736" s="136"/>
      <c r="W736" s="136"/>
      <c r="X736" s="136"/>
      <c r="Y736" s="136"/>
      <c r="Z736" s="136"/>
      <c r="AA736" s="231"/>
    </row>
    <row r="737" spans="1:27" x14ac:dyDescent="0.2">
      <c r="A737" s="39"/>
      <c r="B737" s="39"/>
      <c r="C737" s="43"/>
      <c r="D737" s="43"/>
      <c r="E737" s="43"/>
      <c r="F737" s="132"/>
      <c r="G737" s="41" t="e">
        <f>VLOOKUP(F737,Pcode!A:B,2,FALSE)</f>
        <v>#N/A</v>
      </c>
      <c r="H737" s="41"/>
      <c r="I737" s="41" t="e">
        <f>VLOOKUP(H737,Pcode!C:D,2,FALSE)</f>
        <v>#N/A</v>
      </c>
      <c r="J737" s="41"/>
      <c r="K737" s="160"/>
      <c r="L737" s="160"/>
      <c r="M737" s="46"/>
      <c r="N737" s="136"/>
      <c r="O737" s="136"/>
      <c r="P737" s="136"/>
      <c r="Q737" s="136"/>
      <c r="R737" s="136"/>
      <c r="S737" s="136"/>
      <c r="T737" s="136"/>
      <c r="U737" s="136"/>
      <c r="V737" s="136"/>
      <c r="W737" s="136"/>
      <c r="X737" s="136"/>
      <c r="Y737" s="136"/>
      <c r="Z737" s="136"/>
      <c r="AA737" s="231"/>
    </row>
    <row r="738" spans="1:27" x14ac:dyDescent="0.2">
      <c r="A738" s="39"/>
      <c r="B738" s="39"/>
      <c r="C738" s="43"/>
      <c r="D738" s="43"/>
      <c r="E738" s="43"/>
      <c r="F738" s="132"/>
      <c r="G738" s="41" t="e">
        <f>VLOOKUP(F738,Pcode!A:B,2,FALSE)</f>
        <v>#N/A</v>
      </c>
      <c r="H738" s="41"/>
      <c r="I738" s="41" t="e">
        <f>VLOOKUP(H738,Pcode!C:D,2,FALSE)</f>
        <v>#N/A</v>
      </c>
      <c r="J738" s="41"/>
      <c r="K738" s="160"/>
      <c r="L738" s="160"/>
      <c r="M738" s="46"/>
      <c r="N738" s="136"/>
      <c r="O738" s="136"/>
      <c r="P738" s="136"/>
      <c r="Q738" s="136"/>
      <c r="R738" s="136"/>
      <c r="S738" s="136"/>
      <c r="T738" s="136"/>
      <c r="U738" s="136"/>
      <c r="V738" s="136"/>
      <c r="W738" s="136"/>
      <c r="X738" s="136"/>
      <c r="Y738" s="136"/>
      <c r="Z738" s="136"/>
      <c r="AA738" s="231"/>
    </row>
    <row r="739" spans="1:27" x14ac:dyDescent="0.2">
      <c r="A739" s="39"/>
      <c r="B739" s="39"/>
      <c r="C739" s="43"/>
      <c r="D739" s="43"/>
      <c r="E739" s="43"/>
      <c r="F739" s="132"/>
      <c r="G739" s="41" t="e">
        <f>VLOOKUP(F739,Pcode!A:B,2,FALSE)</f>
        <v>#N/A</v>
      </c>
      <c r="H739" s="41"/>
      <c r="I739" s="41" t="e">
        <f>VLOOKUP(H739,Pcode!C:D,2,FALSE)</f>
        <v>#N/A</v>
      </c>
      <c r="J739" s="41"/>
      <c r="K739" s="160"/>
      <c r="L739" s="160"/>
      <c r="M739" s="46"/>
      <c r="N739" s="136"/>
      <c r="O739" s="136"/>
      <c r="P739" s="136"/>
      <c r="Q739" s="136"/>
      <c r="R739" s="136"/>
      <c r="S739" s="136"/>
      <c r="T739" s="136"/>
      <c r="U739" s="136"/>
      <c r="V739" s="136"/>
      <c r="W739" s="136"/>
      <c r="X739" s="136"/>
      <c r="Y739" s="136"/>
      <c r="Z739" s="136"/>
      <c r="AA739" s="231"/>
    </row>
    <row r="740" spans="1:27" x14ac:dyDescent="0.2">
      <c r="A740" s="39"/>
      <c r="B740" s="39"/>
      <c r="C740" s="43"/>
      <c r="D740" s="43"/>
      <c r="E740" s="43"/>
      <c r="F740" s="132"/>
      <c r="G740" s="41" t="e">
        <f>VLOOKUP(F740,Pcode!A:B,2,FALSE)</f>
        <v>#N/A</v>
      </c>
      <c r="H740" s="41"/>
      <c r="I740" s="41" t="e">
        <f>VLOOKUP(H740,Pcode!C:D,2,FALSE)</f>
        <v>#N/A</v>
      </c>
      <c r="J740" s="41"/>
      <c r="K740" s="160"/>
      <c r="L740" s="160"/>
      <c r="M740" s="46"/>
      <c r="N740" s="136"/>
      <c r="O740" s="136"/>
      <c r="P740" s="136"/>
      <c r="Q740" s="136"/>
      <c r="R740" s="136"/>
      <c r="S740" s="136"/>
      <c r="T740" s="136"/>
      <c r="U740" s="136"/>
      <c r="V740" s="136"/>
      <c r="W740" s="136"/>
      <c r="X740" s="136"/>
      <c r="Y740" s="136"/>
      <c r="Z740" s="136"/>
      <c r="AA740" s="231"/>
    </row>
    <row r="741" spans="1:27" x14ac:dyDescent="0.2">
      <c r="A741" s="39"/>
      <c r="B741" s="39"/>
      <c r="C741" s="43"/>
      <c r="D741" s="43"/>
      <c r="E741" s="43"/>
      <c r="F741" s="132"/>
      <c r="G741" s="41" t="e">
        <f>VLOOKUP(F741,Pcode!A:B,2,FALSE)</f>
        <v>#N/A</v>
      </c>
      <c r="H741" s="41"/>
      <c r="I741" s="41" t="e">
        <f>VLOOKUP(H741,Pcode!C:D,2,FALSE)</f>
        <v>#N/A</v>
      </c>
      <c r="J741" s="41"/>
      <c r="K741" s="160"/>
      <c r="L741" s="160"/>
      <c r="M741" s="46"/>
      <c r="N741" s="136"/>
      <c r="O741" s="136"/>
      <c r="P741" s="136"/>
      <c r="Q741" s="136"/>
      <c r="R741" s="136"/>
      <c r="S741" s="136"/>
      <c r="T741" s="136"/>
      <c r="U741" s="136"/>
      <c r="V741" s="136"/>
      <c r="W741" s="136"/>
      <c r="X741" s="136"/>
      <c r="Y741" s="136"/>
      <c r="Z741" s="136"/>
      <c r="AA741" s="231"/>
    </row>
    <row r="742" spans="1:27" x14ac:dyDescent="0.2">
      <c r="A742" s="39"/>
      <c r="B742" s="39"/>
      <c r="C742" s="43"/>
      <c r="D742" s="43"/>
      <c r="E742" s="43"/>
      <c r="F742" s="132"/>
      <c r="G742" s="41" t="e">
        <f>VLOOKUP(F742,Pcode!A:B,2,FALSE)</f>
        <v>#N/A</v>
      </c>
      <c r="H742" s="41"/>
      <c r="I742" s="41" t="e">
        <f>VLOOKUP(H742,Pcode!C:D,2,FALSE)</f>
        <v>#N/A</v>
      </c>
      <c r="J742" s="41"/>
      <c r="K742" s="160"/>
      <c r="L742" s="160"/>
      <c r="M742" s="46"/>
      <c r="N742" s="136"/>
      <c r="O742" s="136"/>
      <c r="P742" s="136"/>
      <c r="Q742" s="136"/>
      <c r="R742" s="136"/>
      <c r="S742" s="136"/>
      <c r="T742" s="136"/>
      <c r="U742" s="136"/>
      <c r="V742" s="136"/>
      <c r="W742" s="136"/>
      <c r="X742" s="136"/>
      <c r="Y742" s="136"/>
      <c r="Z742" s="136"/>
      <c r="AA742" s="231"/>
    </row>
    <row r="743" spans="1:27" x14ac:dyDescent="0.2">
      <c r="A743" s="39"/>
      <c r="B743" s="39"/>
      <c r="C743" s="43"/>
      <c r="D743" s="43"/>
      <c r="E743" s="43"/>
      <c r="F743" s="132"/>
      <c r="G743" s="41" t="e">
        <f>VLOOKUP(F743,Pcode!A:B,2,FALSE)</f>
        <v>#N/A</v>
      </c>
      <c r="H743" s="41"/>
      <c r="I743" s="41" t="e">
        <f>VLOOKUP(H743,Pcode!C:D,2,FALSE)</f>
        <v>#N/A</v>
      </c>
      <c r="J743" s="41"/>
      <c r="K743" s="160"/>
      <c r="L743" s="160"/>
      <c r="M743" s="46"/>
      <c r="N743" s="136"/>
      <c r="O743" s="136"/>
      <c r="P743" s="136"/>
      <c r="Q743" s="136"/>
      <c r="R743" s="136"/>
      <c r="S743" s="136"/>
      <c r="T743" s="136"/>
      <c r="U743" s="136"/>
      <c r="V743" s="136"/>
      <c r="W743" s="136"/>
      <c r="X743" s="136"/>
      <c r="Y743" s="136"/>
      <c r="Z743" s="136"/>
      <c r="AA743" s="231"/>
    </row>
    <row r="744" spans="1:27" x14ac:dyDescent="0.2">
      <c r="A744" s="39"/>
      <c r="B744" s="39"/>
      <c r="C744" s="43"/>
      <c r="D744" s="43"/>
      <c r="E744" s="43"/>
      <c r="F744" s="132"/>
      <c r="G744" s="41" t="e">
        <f>VLOOKUP(F744,Pcode!A:B,2,FALSE)</f>
        <v>#N/A</v>
      </c>
      <c r="H744" s="41"/>
      <c r="I744" s="41" t="e">
        <f>VLOOKUP(H744,Pcode!C:D,2,FALSE)</f>
        <v>#N/A</v>
      </c>
      <c r="J744" s="41"/>
      <c r="K744" s="160"/>
      <c r="L744" s="160"/>
      <c r="M744" s="46"/>
      <c r="N744" s="136"/>
      <c r="O744" s="136"/>
      <c r="P744" s="136"/>
      <c r="Q744" s="136"/>
      <c r="R744" s="136"/>
      <c r="S744" s="136"/>
      <c r="T744" s="136"/>
      <c r="U744" s="136"/>
      <c r="V744" s="136"/>
      <c r="W744" s="136"/>
      <c r="X744" s="136"/>
      <c r="Y744" s="136"/>
      <c r="Z744" s="136"/>
      <c r="AA744" s="231"/>
    </row>
    <row r="745" spans="1:27" x14ac:dyDescent="0.2">
      <c r="A745" s="39"/>
      <c r="B745" s="39"/>
      <c r="C745" s="43"/>
      <c r="D745" s="43"/>
      <c r="E745" s="43"/>
      <c r="F745" s="132"/>
      <c r="G745" s="41" t="e">
        <f>VLOOKUP(F745,Pcode!A:B,2,FALSE)</f>
        <v>#N/A</v>
      </c>
      <c r="H745" s="41"/>
      <c r="I745" s="41" t="e">
        <f>VLOOKUP(H745,Pcode!C:D,2,FALSE)</f>
        <v>#N/A</v>
      </c>
      <c r="J745" s="41"/>
      <c r="K745" s="160"/>
      <c r="L745" s="160"/>
      <c r="M745" s="46"/>
      <c r="N745" s="136"/>
      <c r="O745" s="136"/>
      <c r="P745" s="136"/>
      <c r="Q745" s="136"/>
      <c r="R745" s="136"/>
      <c r="S745" s="136"/>
      <c r="T745" s="136"/>
      <c r="U745" s="136"/>
      <c r="V745" s="136"/>
      <c r="W745" s="136"/>
      <c r="X745" s="136"/>
      <c r="Y745" s="136"/>
      <c r="Z745" s="136"/>
      <c r="AA745" s="231"/>
    </row>
    <row r="746" spans="1:27" x14ac:dyDescent="0.2">
      <c r="A746" s="39"/>
      <c r="B746" s="39"/>
      <c r="C746" s="43"/>
      <c r="D746" s="43"/>
      <c r="E746" s="43"/>
      <c r="F746" s="132"/>
      <c r="G746" s="41" t="e">
        <f>VLOOKUP(F746,Pcode!A:B,2,FALSE)</f>
        <v>#N/A</v>
      </c>
      <c r="H746" s="41"/>
      <c r="I746" s="41" t="e">
        <f>VLOOKUP(H746,Pcode!C:D,2,FALSE)</f>
        <v>#N/A</v>
      </c>
      <c r="J746" s="41"/>
      <c r="K746" s="160"/>
      <c r="L746" s="160"/>
      <c r="M746" s="46"/>
      <c r="N746" s="136"/>
      <c r="O746" s="136"/>
      <c r="P746" s="136"/>
      <c r="Q746" s="136"/>
      <c r="R746" s="136"/>
      <c r="S746" s="136"/>
      <c r="T746" s="136"/>
      <c r="U746" s="136"/>
      <c r="V746" s="136"/>
      <c r="W746" s="136"/>
      <c r="X746" s="136"/>
      <c r="Y746" s="136"/>
      <c r="Z746" s="136"/>
      <c r="AA746" s="231"/>
    </row>
    <row r="747" spans="1:27" x14ac:dyDescent="0.2">
      <c r="A747" s="39"/>
      <c r="B747" s="39"/>
      <c r="C747" s="43"/>
      <c r="D747" s="43"/>
      <c r="E747" s="43"/>
      <c r="F747" s="132"/>
      <c r="G747" s="41" t="e">
        <f>VLOOKUP(F747,Pcode!A:B,2,FALSE)</f>
        <v>#N/A</v>
      </c>
      <c r="H747" s="41"/>
      <c r="I747" s="41" t="e">
        <f>VLOOKUP(H747,Pcode!C:D,2,FALSE)</f>
        <v>#N/A</v>
      </c>
      <c r="J747" s="41"/>
      <c r="K747" s="160"/>
      <c r="L747" s="160"/>
      <c r="M747" s="46"/>
      <c r="N747" s="136"/>
      <c r="O747" s="136"/>
      <c r="P747" s="136"/>
      <c r="Q747" s="136"/>
      <c r="R747" s="136"/>
      <c r="S747" s="136"/>
      <c r="T747" s="136"/>
      <c r="U747" s="136"/>
      <c r="V747" s="136"/>
      <c r="W747" s="136"/>
      <c r="X747" s="136"/>
      <c r="Y747" s="136"/>
      <c r="Z747" s="136"/>
      <c r="AA747" s="231"/>
    </row>
    <row r="748" spans="1:27" x14ac:dyDescent="0.2">
      <c r="A748" s="39"/>
      <c r="B748" s="39"/>
      <c r="C748" s="43"/>
      <c r="D748" s="43"/>
      <c r="E748" s="43"/>
      <c r="F748" s="132"/>
      <c r="G748" s="41" t="e">
        <f>VLOOKUP(F748,Pcode!A:B,2,FALSE)</f>
        <v>#N/A</v>
      </c>
      <c r="H748" s="41"/>
      <c r="I748" s="41" t="e">
        <f>VLOOKUP(H748,Pcode!C:D,2,FALSE)</f>
        <v>#N/A</v>
      </c>
      <c r="J748" s="41"/>
      <c r="K748" s="160"/>
      <c r="L748" s="160"/>
      <c r="M748" s="46"/>
      <c r="N748" s="136"/>
      <c r="O748" s="136"/>
      <c r="P748" s="136"/>
      <c r="Q748" s="136"/>
      <c r="R748" s="136"/>
      <c r="S748" s="136"/>
      <c r="T748" s="136"/>
      <c r="U748" s="136"/>
      <c r="V748" s="136"/>
      <c r="W748" s="136"/>
      <c r="X748" s="136"/>
      <c r="Y748" s="136"/>
      <c r="Z748" s="136"/>
      <c r="AA748" s="231"/>
    </row>
    <row r="749" spans="1:27" x14ac:dyDescent="0.2">
      <c r="A749" s="39"/>
      <c r="B749" s="39"/>
      <c r="C749" s="43"/>
      <c r="D749" s="43"/>
      <c r="E749" s="43"/>
      <c r="F749" s="132"/>
      <c r="G749" s="41" t="e">
        <f>VLOOKUP(F749,Pcode!A:B,2,FALSE)</f>
        <v>#N/A</v>
      </c>
      <c r="H749" s="41"/>
      <c r="I749" s="41" t="e">
        <f>VLOOKUP(H749,Pcode!C:D,2,FALSE)</f>
        <v>#N/A</v>
      </c>
      <c r="J749" s="41"/>
      <c r="K749" s="160"/>
      <c r="L749" s="160"/>
      <c r="M749" s="46"/>
      <c r="N749" s="136"/>
      <c r="O749" s="136"/>
      <c r="P749" s="136"/>
      <c r="Q749" s="136"/>
      <c r="R749" s="136"/>
      <c r="S749" s="136"/>
      <c r="T749" s="136"/>
      <c r="U749" s="136"/>
      <c r="V749" s="136"/>
      <c r="W749" s="136"/>
      <c r="X749" s="136"/>
      <c r="Y749" s="136"/>
      <c r="Z749" s="136"/>
      <c r="AA749" s="231"/>
    </row>
    <row r="750" spans="1:27" x14ac:dyDescent="0.2">
      <c r="A750" s="39"/>
      <c r="B750" s="39"/>
      <c r="C750" s="43"/>
      <c r="D750" s="43"/>
      <c r="E750" s="43"/>
      <c r="F750" s="132"/>
      <c r="G750" s="41" t="e">
        <f>VLOOKUP(F750,Pcode!A:B,2,FALSE)</f>
        <v>#N/A</v>
      </c>
      <c r="H750" s="41"/>
      <c r="I750" s="41" t="e">
        <f>VLOOKUP(H750,Pcode!C:D,2,FALSE)</f>
        <v>#N/A</v>
      </c>
      <c r="J750" s="41"/>
      <c r="K750" s="160"/>
      <c r="L750" s="160"/>
      <c r="M750" s="46"/>
      <c r="N750" s="136"/>
      <c r="O750" s="136"/>
      <c r="P750" s="136"/>
      <c r="Q750" s="136"/>
      <c r="R750" s="136"/>
      <c r="S750" s="136"/>
      <c r="T750" s="136"/>
      <c r="U750" s="136"/>
      <c r="V750" s="136"/>
      <c r="W750" s="136"/>
      <c r="X750" s="136"/>
      <c r="Y750" s="136"/>
      <c r="Z750" s="136"/>
      <c r="AA750" s="231"/>
    </row>
    <row r="751" spans="1:27" x14ac:dyDescent="0.2">
      <c r="A751" s="39"/>
      <c r="B751" s="39"/>
      <c r="C751" s="43"/>
      <c r="D751" s="43"/>
      <c r="E751" s="43"/>
      <c r="F751" s="132"/>
      <c r="G751" s="41" t="e">
        <f>VLOOKUP(F751,Pcode!A:B,2,FALSE)</f>
        <v>#N/A</v>
      </c>
      <c r="H751" s="41"/>
      <c r="I751" s="41" t="e">
        <f>VLOOKUP(H751,Pcode!C:D,2,FALSE)</f>
        <v>#N/A</v>
      </c>
      <c r="J751" s="41"/>
      <c r="K751" s="160"/>
      <c r="L751" s="160"/>
      <c r="M751" s="46"/>
      <c r="N751" s="136"/>
      <c r="O751" s="136"/>
      <c r="P751" s="136"/>
      <c r="Q751" s="136"/>
      <c r="R751" s="136"/>
      <c r="S751" s="136"/>
      <c r="T751" s="136"/>
      <c r="U751" s="136"/>
      <c r="V751" s="136"/>
      <c r="W751" s="136"/>
      <c r="X751" s="136"/>
      <c r="Y751" s="136"/>
      <c r="Z751" s="136"/>
      <c r="AA751" s="231"/>
    </row>
    <row r="752" spans="1:27" x14ac:dyDescent="0.2">
      <c r="A752" s="39"/>
      <c r="B752" s="39"/>
      <c r="C752" s="43"/>
      <c r="D752" s="43"/>
      <c r="E752" s="43"/>
      <c r="F752" s="132"/>
      <c r="G752" s="41" t="e">
        <f>VLOOKUP(F752,Pcode!A:B,2,FALSE)</f>
        <v>#N/A</v>
      </c>
      <c r="H752" s="41"/>
      <c r="I752" s="41" t="e">
        <f>VLOOKUP(H752,Pcode!C:D,2,FALSE)</f>
        <v>#N/A</v>
      </c>
      <c r="J752" s="41"/>
      <c r="K752" s="160"/>
      <c r="L752" s="160"/>
      <c r="M752" s="46"/>
      <c r="N752" s="136"/>
      <c r="O752" s="136"/>
      <c r="P752" s="136"/>
      <c r="Q752" s="136"/>
      <c r="R752" s="136"/>
      <c r="S752" s="136"/>
      <c r="T752" s="136"/>
      <c r="U752" s="136"/>
      <c r="V752" s="136"/>
      <c r="W752" s="136"/>
      <c r="X752" s="136"/>
      <c r="Y752" s="136"/>
      <c r="Z752" s="136"/>
      <c r="AA752" s="231"/>
    </row>
    <row r="753" spans="1:27" x14ac:dyDescent="0.2">
      <c r="A753" s="39"/>
      <c r="B753" s="39"/>
      <c r="C753" s="43"/>
      <c r="D753" s="43"/>
      <c r="E753" s="43"/>
      <c r="F753" s="132"/>
      <c r="G753" s="41" t="e">
        <f>VLOOKUP(F753,Pcode!A:B,2,FALSE)</f>
        <v>#N/A</v>
      </c>
      <c r="H753" s="41"/>
      <c r="I753" s="41" t="e">
        <f>VLOOKUP(H753,Pcode!C:D,2,FALSE)</f>
        <v>#N/A</v>
      </c>
      <c r="J753" s="41"/>
      <c r="K753" s="160"/>
      <c r="L753" s="160"/>
      <c r="M753" s="46"/>
      <c r="N753" s="136"/>
      <c r="O753" s="136"/>
      <c r="P753" s="136"/>
      <c r="Q753" s="136"/>
      <c r="R753" s="136"/>
      <c r="S753" s="136"/>
      <c r="T753" s="136"/>
      <c r="U753" s="136"/>
      <c r="V753" s="136"/>
      <c r="W753" s="136"/>
      <c r="X753" s="136"/>
      <c r="Y753" s="136"/>
      <c r="Z753" s="136"/>
      <c r="AA753" s="231"/>
    </row>
    <row r="754" spans="1:27" x14ac:dyDescent="0.2">
      <c r="A754" s="39"/>
      <c r="B754" s="39"/>
      <c r="C754" s="43"/>
      <c r="D754" s="43"/>
      <c r="E754" s="43"/>
      <c r="F754" s="132"/>
      <c r="G754" s="41" t="e">
        <f>VLOOKUP(F754,Pcode!A:B,2,FALSE)</f>
        <v>#N/A</v>
      </c>
      <c r="H754" s="41"/>
      <c r="I754" s="41" t="e">
        <f>VLOOKUP(H754,Pcode!C:D,2,FALSE)</f>
        <v>#N/A</v>
      </c>
      <c r="J754" s="41"/>
      <c r="K754" s="160"/>
      <c r="L754" s="160"/>
      <c r="M754" s="46"/>
      <c r="N754" s="136"/>
      <c r="O754" s="136"/>
      <c r="P754" s="136"/>
      <c r="Q754" s="136"/>
      <c r="R754" s="136"/>
      <c r="S754" s="136"/>
      <c r="T754" s="136"/>
      <c r="U754" s="136"/>
      <c r="V754" s="136"/>
      <c r="W754" s="136"/>
      <c r="X754" s="136"/>
      <c r="Y754" s="136"/>
      <c r="Z754" s="136"/>
      <c r="AA754" s="231"/>
    </row>
    <row r="755" spans="1:27" x14ac:dyDescent="0.2">
      <c r="A755" s="39"/>
      <c r="B755" s="39"/>
      <c r="C755" s="43"/>
      <c r="D755" s="43"/>
      <c r="E755" s="43"/>
      <c r="F755" s="132"/>
      <c r="G755" s="41" t="e">
        <f>VLOOKUP(F755,Pcode!A:B,2,FALSE)</f>
        <v>#N/A</v>
      </c>
      <c r="H755" s="41"/>
      <c r="I755" s="41" t="e">
        <f>VLOOKUP(H755,Pcode!C:D,2,FALSE)</f>
        <v>#N/A</v>
      </c>
      <c r="J755" s="41"/>
      <c r="K755" s="160"/>
      <c r="L755" s="160"/>
      <c r="M755" s="46"/>
      <c r="N755" s="136"/>
      <c r="O755" s="136"/>
      <c r="P755" s="136"/>
      <c r="Q755" s="136"/>
      <c r="R755" s="136"/>
      <c r="S755" s="136"/>
      <c r="T755" s="136"/>
      <c r="U755" s="136"/>
      <c r="V755" s="136"/>
      <c r="W755" s="136"/>
      <c r="X755" s="136"/>
      <c r="Y755" s="136"/>
      <c r="Z755" s="136"/>
      <c r="AA755" s="231"/>
    </row>
    <row r="756" spans="1:27" x14ac:dyDescent="0.2">
      <c r="A756" s="39"/>
      <c r="B756" s="39"/>
      <c r="C756" s="43"/>
      <c r="D756" s="43"/>
      <c r="E756" s="43"/>
      <c r="F756" s="132"/>
      <c r="G756" s="41" t="e">
        <f>VLOOKUP(F756,Pcode!A:B,2,FALSE)</f>
        <v>#N/A</v>
      </c>
      <c r="H756" s="41"/>
      <c r="I756" s="41" t="e">
        <f>VLOOKUP(H756,Pcode!C:D,2,FALSE)</f>
        <v>#N/A</v>
      </c>
      <c r="J756" s="41"/>
      <c r="K756" s="160"/>
      <c r="L756" s="160"/>
      <c r="M756" s="46"/>
      <c r="N756" s="136"/>
      <c r="O756" s="136"/>
      <c r="P756" s="136"/>
      <c r="Q756" s="136"/>
      <c r="R756" s="136"/>
      <c r="S756" s="136"/>
      <c r="T756" s="136"/>
      <c r="U756" s="136"/>
      <c r="V756" s="136"/>
      <c r="W756" s="136"/>
      <c r="X756" s="136"/>
      <c r="Y756" s="136"/>
      <c r="Z756" s="136"/>
      <c r="AA756" s="231"/>
    </row>
    <row r="757" spans="1:27" x14ac:dyDescent="0.2">
      <c r="A757" s="39"/>
      <c r="B757" s="39"/>
      <c r="C757" s="43"/>
      <c r="D757" s="43"/>
      <c r="E757" s="43"/>
      <c r="F757" s="132"/>
      <c r="G757" s="41" t="e">
        <f>VLOOKUP(F757,Pcode!A:B,2,FALSE)</f>
        <v>#N/A</v>
      </c>
      <c r="H757" s="41"/>
      <c r="I757" s="41" t="e">
        <f>VLOOKUP(H757,Pcode!C:D,2,FALSE)</f>
        <v>#N/A</v>
      </c>
      <c r="J757" s="41"/>
      <c r="K757" s="160"/>
      <c r="L757" s="160"/>
      <c r="M757" s="46"/>
      <c r="N757" s="136"/>
      <c r="O757" s="136"/>
      <c r="P757" s="136"/>
      <c r="Q757" s="136"/>
      <c r="R757" s="136"/>
      <c r="S757" s="136"/>
      <c r="T757" s="136"/>
      <c r="U757" s="136"/>
      <c r="V757" s="136"/>
      <c r="W757" s="136"/>
      <c r="X757" s="136"/>
      <c r="Y757" s="136"/>
      <c r="Z757" s="136"/>
      <c r="AA757" s="231"/>
    </row>
    <row r="758" spans="1:27" x14ac:dyDescent="0.2">
      <c r="A758" s="39"/>
      <c r="B758" s="39"/>
      <c r="C758" s="43"/>
      <c r="D758" s="43"/>
      <c r="E758" s="43"/>
      <c r="F758" s="132"/>
      <c r="G758" s="41" t="e">
        <f>VLOOKUP(F758,Pcode!A:B,2,FALSE)</f>
        <v>#N/A</v>
      </c>
      <c r="H758" s="41"/>
      <c r="I758" s="41" t="e">
        <f>VLOOKUP(H758,Pcode!C:D,2,FALSE)</f>
        <v>#N/A</v>
      </c>
      <c r="J758" s="41"/>
      <c r="K758" s="160"/>
      <c r="L758" s="160"/>
      <c r="M758" s="46"/>
      <c r="N758" s="136"/>
      <c r="O758" s="136"/>
      <c r="P758" s="136"/>
      <c r="Q758" s="136"/>
      <c r="R758" s="136"/>
      <c r="S758" s="136"/>
      <c r="T758" s="136"/>
      <c r="U758" s="136"/>
      <c r="V758" s="136"/>
      <c r="W758" s="136"/>
      <c r="X758" s="136"/>
      <c r="Y758" s="136"/>
      <c r="Z758" s="136"/>
      <c r="AA758" s="231"/>
    </row>
    <row r="759" spans="1:27" x14ac:dyDescent="0.2">
      <c r="A759" s="39"/>
      <c r="B759" s="39"/>
      <c r="C759" s="43"/>
      <c r="D759" s="43"/>
      <c r="E759" s="43"/>
      <c r="F759" s="132"/>
      <c r="G759" s="41" t="e">
        <f>VLOOKUP(F759,Pcode!A:B,2,FALSE)</f>
        <v>#N/A</v>
      </c>
      <c r="H759" s="41"/>
      <c r="I759" s="41" t="e">
        <f>VLOOKUP(H759,Pcode!C:D,2,FALSE)</f>
        <v>#N/A</v>
      </c>
      <c r="J759" s="41"/>
      <c r="K759" s="160"/>
      <c r="L759" s="160"/>
      <c r="M759" s="46"/>
      <c r="N759" s="136"/>
      <c r="O759" s="136"/>
      <c r="P759" s="136"/>
      <c r="Q759" s="136"/>
      <c r="R759" s="136"/>
      <c r="S759" s="136"/>
      <c r="T759" s="136"/>
      <c r="U759" s="136"/>
      <c r="V759" s="136"/>
      <c r="W759" s="136"/>
      <c r="X759" s="136"/>
      <c r="Y759" s="136"/>
      <c r="Z759" s="136"/>
      <c r="AA759" s="231"/>
    </row>
    <row r="760" spans="1:27" x14ac:dyDescent="0.2">
      <c r="A760" s="39"/>
      <c r="B760" s="39"/>
      <c r="C760" s="43"/>
      <c r="D760" s="43"/>
      <c r="E760" s="43"/>
      <c r="F760" s="132"/>
      <c r="G760" s="41" t="e">
        <f>VLOOKUP(F760,Pcode!A:B,2,FALSE)</f>
        <v>#N/A</v>
      </c>
      <c r="H760" s="41"/>
      <c r="I760" s="41" t="e">
        <f>VLOOKUP(H760,Pcode!C:D,2,FALSE)</f>
        <v>#N/A</v>
      </c>
      <c r="J760" s="41"/>
      <c r="K760" s="160"/>
      <c r="L760" s="160"/>
      <c r="M760" s="46"/>
      <c r="N760" s="136"/>
      <c r="O760" s="136"/>
      <c r="P760" s="136"/>
      <c r="Q760" s="136"/>
      <c r="R760" s="136"/>
      <c r="S760" s="136"/>
      <c r="T760" s="136"/>
      <c r="U760" s="136"/>
      <c r="V760" s="136"/>
      <c r="W760" s="136"/>
      <c r="X760" s="136"/>
      <c r="Y760" s="136"/>
      <c r="Z760" s="136"/>
      <c r="AA760" s="231"/>
    </row>
    <row r="761" spans="1:27" x14ac:dyDescent="0.2">
      <c r="A761" s="39"/>
      <c r="B761" s="39"/>
      <c r="C761" s="43"/>
      <c r="D761" s="43"/>
      <c r="E761" s="43"/>
      <c r="F761" s="132"/>
      <c r="G761" s="41" t="e">
        <f>VLOOKUP(F761,Pcode!A:B,2,FALSE)</f>
        <v>#N/A</v>
      </c>
      <c r="H761" s="41"/>
      <c r="I761" s="41" t="e">
        <f>VLOOKUP(H761,Pcode!C:D,2,FALSE)</f>
        <v>#N/A</v>
      </c>
      <c r="J761" s="41"/>
      <c r="K761" s="160"/>
      <c r="L761" s="160"/>
      <c r="M761" s="46"/>
      <c r="N761" s="136"/>
      <c r="O761" s="136"/>
      <c r="P761" s="136"/>
      <c r="Q761" s="136"/>
      <c r="R761" s="136"/>
      <c r="S761" s="136"/>
      <c r="T761" s="136"/>
      <c r="U761" s="136"/>
      <c r="V761" s="136"/>
      <c r="W761" s="136"/>
      <c r="X761" s="136"/>
      <c r="Y761" s="136"/>
      <c r="Z761" s="136"/>
      <c r="AA761" s="231"/>
    </row>
    <row r="762" spans="1:27" x14ac:dyDescent="0.2">
      <c r="A762" s="39"/>
      <c r="B762" s="39"/>
      <c r="C762" s="43"/>
      <c r="D762" s="43"/>
      <c r="E762" s="43"/>
      <c r="F762" s="132"/>
      <c r="G762" s="41" t="e">
        <f>VLOOKUP(F762,Pcode!A:B,2,FALSE)</f>
        <v>#N/A</v>
      </c>
      <c r="H762" s="41"/>
      <c r="I762" s="41" t="e">
        <f>VLOOKUP(H762,Pcode!C:D,2,FALSE)</f>
        <v>#N/A</v>
      </c>
      <c r="J762" s="41"/>
      <c r="K762" s="160"/>
      <c r="L762" s="160"/>
      <c r="M762" s="46"/>
      <c r="N762" s="136"/>
      <c r="O762" s="136"/>
      <c r="P762" s="136"/>
      <c r="Q762" s="136"/>
      <c r="R762" s="136"/>
      <c r="S762" s="136"/>
      <c r="T762" s="136"/>
      <c r="U762" s="136"/>
      <c r="V762" s="136"/>
      <c r="W762" s="136"/>
      <c r="X762" s="136"/>
      <c r="Y762" s="136"/>
      <c r="Z762" s="136"/>
      <c r="AA762" s="231"/>
    </row>
    <row r="763" spans="1:27" x14ac:dyDescent="0.2">
      <c r="A763" s="39"/>
      <c r="B763" s="39"/>
      <c r="C763" s="43"/>
      <c r="D763" s="43"/>
      <c r="E763" s="43"/>
      <c r="F763" s="132"/>
      <c r="G763" s="41" t="e">
        <f>VLOOKUP(F763,Pcode!A:B,2,FALSE)</f>
        <v>#N/A</v>
      </c>
      <c r="H763" s="41"/>
      <c r="I763" s="41" t="e">
        <f>VLOOKUP(H763,Pcode!C:D,2,FALSE)</f>
        <v>#N/A</v>
      </c>
      <c r="J763" s="41"/>
      <c r="K763" s="160"/>
      <c r="L763" s="160"/>
      <c r="M763" s="46"/>
      <c r="N763" s="136"/>
      <c r="O763" s="136"/>
      <c r="P763" s="136"/>
      <c r="Q763" s="136"/>
      <c r="R763" s="136"/>
      <c r="S763" s="136"/>
      <c r="T763" s="136"/>
      <c r="U763" s="136"/>
      <c r="V763" s="136"/>
      <c r="W763" s="136"/>
      <c r="X763" s="136"/>
      <c r="Y763" s="136"/>
      <c r="Z763" s="136"/>
      <c r="AA763" s="231"/>
    </row>
    <row r="764" spans="1:27" x14ac:dyDescent="0.2">
      <c r="A764" s="39"/>
      <c r="B764" s="39"/>
      <c r="C764" s="43"/>
      <c r="D764" s="43"/>
      <c r="E764" s="43"/>
      <c r="F764" s="132"/>
      <c r="G764" s="41" t="e">
        <f>VLOOKUP(F764,Pcode!A:B,2,FALSE)</f>
        <v>#N/A</v>
      </c>
      <c r="H764" s="41"/>
      <c r="I764" s="41" t="e">
        <f>VLOOKUP(H764,Pcode!C:D,2,FALSE)</f>
        <v>#N/A</v>
      </c>
      <c r="J764" s="41"/>
      <c r="K764" s="160"/>
      <c r="L764" s="160"/>
      <c r="M764" s="46"/>
      <c r="N764" s="136"/>
      <c r="O764" s="136"/>
      <c r="P764" s="136"/>
      <c r="Q764" s="136"/>
      <c r="R764" s="136"/>
      <c r="S764" s="136"/>
      <c r="T764" s="136"/>
      <c r="U764" s="136"/>
      <c r="V764" s="136"/>
      <c r="W764" s="136"/>
      <c r="X764" s="136"/>
      <c r="Y764" s="136"/>
      <c r="Z764" s="136"/>
      <c r="AA764" s="231"/>
    </row>
    <row r="765" spans="1:27" x14ac:dyDescent="0.2">
      <c r="A765" s="39"/>
      <c r="B765" s="39"/>
      <c r="C765" s="43"/>
      <c r="D765" s="43"/>
      <c r="E765" s="43"/>
      <c r="F765" s="132"/>
      <c r="G765" s="41" t="e">
        <f>VLOOKUP(F765,Pcode!A:B,2,FALSE)</f>
        <v>#N/A</v>
      </c>
      <c r="H765" s="41"/>
      <c r="I765" s="41" t="e">
        <f>VLOOKUP(H765,Pcode!C:D,2,FALSE)</f>
        <v>#N/A</v>
      </c>
      <c r="J765" s="41"/>
      <c r="K765" s="160"/>
      <c r="L765" s="160"/>
      <c r="M765" s="46"/>
      <c r="N765" s="136"/>
      <c r="O765" s="136"/>
      <c r="P765" s="136"/>
      <c r="Q765" s="136"/>
      <c r="R765" s="136"/>
      <c r="S765" s="136"/>
      <c r="T765" s="136"/>
      <c r="U765" s="136"/>
      <c r="V765" s="136"/>
      <c r="W765" s="136"/>
      <c r="X765" s="136"/>
      <c r="Y765" s="136"/>
      <c r="Z765" s="136"/>
      <c r="AA765" s="231"/>
    </row>
    <row r="766" spans="1:27" x14ac:dyDescent="0.2">
      <c r="A766" s="39"/>
      <c r="B766" s="39"/>
      <c r="C766" s="43"/>
      <c r="D766" s="43"/>
      <c r="E766" s="43"/>
      <c r="F766" s="132"/>
      <c r="G766" s="41" t="e">
        <f>VLOOKUP(F766,Pcode!A:B,2,FALSE)</f>
        <v>#N/A</v>
      </c>
      <c r="H766" s="41"/>
      <c r="I766" s="41" t="e">
        <f>VLOOKUP(H766,Pcode!C:D,2,FALSE)</f>
        <v>#N/A</v>
      </c>
      <c r="J766" s="41"/>
      <c r="K766" s="160"/>
      <c r="L766" s="160"/>
      <c r="M766" s="46"/>
      <c r="N766" s="136"/>
      <c r="O766" s="136"/>
      <c r="P766" s="136"/>
      <c r="Q766" s="136"/>
      <c r="R766" s="136"/>
      <c r="S766" s="136"/>
      <c r="T766" s="136"/>
      <c r="U766" s="136"/>
      <c r="V766" s="136"/>
      <c r="W766" s="136"/>
      <c r="X766" s="136"/>
      <c r="Y766" s="136"/>
      <c r="Z766" s="136"/>
      <c r="AA766" s="231"/>
    </row>
    <row r="767" spans="1:27" x14ac:dyDescent="0.2">
      <c r="A767" s="39"/>
      <c r="B767" s="39"/>
      <c r="C767" s="43"/>
      <c r="D767" s="43"/>
      <c r="E767" s="43"/>
      <c r="F767" s="132"/>
      <c r="G767" s="41" t="e">
        <f>VLOOKUP(F767,Pcode!A:B,2,FALSE)</f>
        <v>#N/A</v>
      </c>
      <c r="H767" s="41"/>
      <c r="I767" s="41" t="e">
        <f>VLOOKUP(H767,Pcode!C:D,2,FALSE)</f>
        <v>#N/A</v>
      </c>
      <c r="J767" s="41"/>
      <c r="K767" s="160"/>
      <c r="L767" s="160"/>
      <c r="M767" s="46"/>
      <c r="N767" s="136"/>
      <c r="O767" s="136"/>
      <c r="P767" s="136"/>
      <c r="Q767" s="136"/>
      <c r="R767" s="136"/>
      <c r="S767" s="136"/>
      <c r="T767" s="136"/>
      <c r="U767" s="136"/>
      <c r="V767" s="136"/>
      <c r="W767" s="136"/>
      <c r="X767" s="136"/>
      <c r="Y767" s="136"/>
      <c r="Z767" s="136"/>
      <c r="AA767" s="231"/>
    </row>
    <row r="768" spans="1:27" x14ac:dyDescent="0.2">
      <c r="A768" s="39"/>
      <c r="B768" s="39"/>
      <c r="C768" s="43"/>
      <c r="D768" s="43"/>
      <c r="E768" s="43"/>
      <c r="F768" s="132"/>
      <c r="G768" s="41" t="e">
        <f>VLOOKUP(F768,Pcode!A:B,2,FALSE)</f>
        <v>#N/A</v>
      </c>
      <c r="H768" s="41"/>
      <c r="I768" s="41" t="e">
        <f>VLOOKUP(H768,Pcode!C:D,2,FALSE)</f>
        <v>#N/A</v>
      </c>
      <c r="J768" s="41"/>
      <c r="K768" s="160"/>
      <c r="L768" s="160"/>
      <c r="M768" s="46"/>
      <c r="N768" s="136"/>
      <c r="O768" s="136"/>
      <c r="P768" s="136"/>
      <c r="Q768" s="136"/>
      <c r="R768" s="136"/>
      <c r="S768" s="136"/>
      <c r="T768" s="136"/>
      <c r="U768" s="136"/>
      <c r="V768" s="136"/>
      <c r="W768" s="136"/>
      <c r="X768" s="136"/>
      <c r="Y768" s="136"/>
      <c r="Z768" s="136"/>
      <c r="AA768" s="231"/>
    </row>
    <row r="769" spans="1:27" x14ac:dyDescent="0.2">
      <c r="A769" s="39"/>
      <c r="B769" s="39"/>
      <c r="C769" s="43"/>
      <c r="D769" s="43"/>
      <c r="E769" s="43"/>
      <c r="F769" s="132"/>
      <c r="G769" s="41" t="e">
        <f>VLOOKUP(F769,Pcode!A:B,2,FALSE)</f>
        <v>#N/A</v>
      </c>
      <c r="H769" s="41"/>
      <c r="I769" s="41" t="e">
        <f>VLOOKUP(H769,Pcode!C:D,2,FALSE)</f>
        <v>#N/A</v>
      </c>
      <c r="J769" s="41"/>
      <c r="K769" s="160"/>
      <c r="L769" s="160"/>
      <c r="M769" s="46"/>
      <c r="N769" s="136"/>
      <c r="O769" s="136"/>
      <c r="P769" s="136"/>
      <c r="Q769" s="136"/>
      <c r="R769" s="136"/>
      <c r="S769" s="136"/>
      <c r="T769" s="136"/>
      <c r="U769" s="136"/>
      <c r="V769" s="136"/>
      <c r="W769" s="136"/>
      <c r="X769" s="136"/>
      <c r="Y769" s="136"/>
      <c r="Z769" s="136"/>
      <c r="AA769" s="231"/>
    </row>
    <row r="770" spans="1:27" x14ac:dyDescent="0.2">
      <c r="A770" s="39"/>
      <c r="B770" s="39"/>
      <c r="C770" s="43"/>
      <c r="D770" s="43"/>
      <c r="E770" s="43"/>
      <c r="F770" s="132"/>
      <c r="G770" s="41" t="e">
        <f>VLOOKUP(F770,Pcode!A:B,2,FALSE)</f>
        <v>#N/A</v>
      </c>
      <c r="H770" s="41"/>
      <c r="I770" s="41" t="e">
        <f>VLOOKUP(H770,Pcode!C:D,2,FALSE)</f>
        <v>#N/A</v>
      </c>
      <c r="J770" s="41"/>
      <c r="K770" s="160"/>
      <c r="L770" s="160"/>
      <c r="M770" s="46"/>
      <c r="N770" s="136"/>
      <c r="O770" s="136"/>
      <c r="P770" s="136"/>
      <c r="Q770" s="136"/>
      <c r="R770" s="136"/>
      <c r="S770" s="136"/>
      <c r="T770" s="136"/>
      <c r="U770" s="136"/>
      <c r="V770" s="136"/>
      <c r="W770" s="136"/>
      <c r="X770" s="136"/>
      <c r="Y770" s="136"/>
      <c r="Z770" s="136"/>
      <c r="AA770" s="231"/>
    </row>
    <row r="771" spans="1:27" x14ac:dyDescent="0.2">
      <c r="A771" s="39"/>
      <c r="B771" s="39"/>
      <c r="C771" s="43"/>
      <c r="D771" s="43"/>
      <c r="E771" s="43"/>
      <c r="F771" s="132"/>
      <c r="G771" s="41" t="e">
        <f>VLOOKUP(F771,Pcode!A:B,2,FALSE)</f>
        <v>#N/A</v>
      </c>
      <c r="H771" s="41"/>
      <c r="I771" s="41" t="e">
        <f>VLOOKUP(H771,Pcode!C:D,2,FALSE)</f>
        <v>#N/A</v>
      </c>
      <c r="J771" s="41"/>
      <c r="K771" s="160"/>
      <c r="L771" s="160"/>
      <c r="M771" s="46"/>
      <c r="N771" s="136"/>
      <c r="O771" s="136"/>
      <c r="P771" s="136"/>
      <c r="Q771" s="136"/>
      <c r="R771" s="136"/>
      <c r="S771" s="136"/>
      <c r="T771" s="136"/>
      <c r="U771" s="136"/>
      <c r="V771" s="136"/>
      <c r="W771" s="136"/>
      <c r="X771" s="136"/>
      <c r="Y771" s="136"/>
      <c r="Z771" s="136"/>
      <c r="AA771" s="231"/>
    </row>
    <row r="772" spans="1:27" x14ac:dyDescent="0.2">
      <c r="A772" s="39"/>
      <c r="B772" s="39"/>
      <c r="C772" s="43"/>
      <c r="D772" s="43"/>
      <c r="E772" s="43"/>
      <c r="F772" s="132"/>
      <c r="G772" s="41" t="e">
        <f>VLOOKUP(F772,Pcode!A:B,2,FALSE)</f>
        <v>#N/A</v>
      </c>
      <c r="H772" s="41"/>
      <c r="I772" s="41" t="e">
        <f>VLOOKUP(H772,Pcode!C:D,2,FALSE)</f>
        <v>#N/A</v>
      </c>
      <c r="J772" s="41"/>
      <c r="K772" s="160"/>
      <c r="L772" s="160"/>
      <c r="M772" s="46"/>
      <c r="N772" s="136"/>
      <c r="O772" s="136"/>
      <c r="P772" s="136"/>
      <c r="Q772" s="136"/>
      <c r="R772" s="136"/>
      <c r="S772" s="136"/>
      <c r="T772" s="136"/>
      <c r="U772" s="136"/>
      <c r="V772" s="136"/>
      <c r="W772" s="136"/>
      <c r="X772" s="136"/>
      <c r="Y772" s="136"/>
      <c r="Z772" s="136"/>
      <c r="AA772" s="231"/>
    </row>
    <row r="773" spans="1:27" x14ac:dyDescent="0.2">
      <c r="A773" s="39"/>
      <c r="B773" s="39"/>
      <c r="C773" s="43"/>
      <c r="D773" s="43"/>
      <c r="E773" s="43"/>
      <c r="F773" s="132"/>
      <c r="G773" s="41" t="e">
        <f>VLOOKUP(F773,Pcode!A:B,2,FALSE)</f>
        <v>#N/A</v>
      </c>
      <c r="H773" s="41"/>
      <c r="I773" s="41" t="e">
        <f>VLOOKUP(H773,Pcode!C:D,2,FALSE)</f>
        <v>#N/A</v>
      </c>
      <c r="J773" s="41"/>
      <c r="K773" s="160"/>
      <c r="L773" s="160"/>
      <c r="M773" s="46"/>
      <c r="N773" s="136"/>
      <c r="O773" s="136"/>
      <c r="P773" s="136"/>
      <c r="Q773" s="136"/>
      <c r="R773" s="136"/>
      <c r="S773" s="136"/>
      <c r="T773" s="136"/>
      <c r="U773" s="136"/>
      <c r="V773" s="136"/>
      <c r="W773" s="136"/>
      <c r="X773" s="136"/>
      <c r="Y773" s="136"/>
      <c r="Z773" s="136"/>
      <c r="AA773" s="231"/>
    </row>
    <row r="774" spans="1:27" x14ac:dyDescent="0.2">
      <c r="A774" s="39"/>
      <c r="B774" s="39"/>
      <c r="C774" s="43"/>
      <c r="D774" s="43"/>
      <c r="E774" s="43"/>
      <c r="F774" s="132"/>
      <c r="G774" s="41" t="e">
        <f>VLOOKUP(F774,Pcode!A:B,2,FALSE)</f>
        <v>#N/A</v>
      </c>
      <c r="H774" s="41"/>
      <c r="I774" s="41" t="e">
        <f>VLOOKUP(H774,Pcode!C:D,2,FALSE)</f>
        <v>#N/A</v>
      </c>
      <c r="J774" s="41"/>
      <c r="K774" s="160"/>
      <c r="L774" s="160"/>
      <c r="M774" s="46"/>
      <c r="N774" s="136"/>
      <c r="O774" s="136"/>
      <c r="P774" s="136"/>
      <c r="Q774" s="136"/>
      <c r="R774" s="136"/>
      <c r="S774" s="136"/>
      <c r="T774" s="136"/>
      <c r="U774" s="136"/>
      <c r="V774" s="136"/>
      <c r="W774" s="136"/>
      <c r="X774" s="136"/>
      <c r="Y774" s="136"/>
      <c r="Z774" s="136"/>
      <c r="AA774" s="231"/>
    </row>
    <row r="775" spans="1:27" x14ac:dyDescent="0.2">
      <c r="A775" s="39"/>
      <c r="B775" s="39"/>
      <c r="C775" s="43"/>
      <c r="D775" s="43"/>
      <c r="E775" s="43"/>
      <c r="F775" s="132"/>
      <c r="G775" s="41" t="e">
        <f>VLOOKUP(F775,Pcode!A:B,2,FALSE)</f>
        <v>#N/A</v>
      </c>
      <c r="H775" s="41"/>
      <c r="I775" s="41" t="e">
        <f>VLOOKUP(H775,Pcode!C:D,2,FALSE)</f>
        <v>#N/A</v>
      </c>
      <c r="J775" s="41"/>
      <c r="K775" s="160"/>
      <c r="L775" s="160"/>
      <c r="M775" s="46"/>
      <c r="N775" s="136"/>
      <c r="O775" s="136"/>
      <c r="P775" s="136"/>
      <c r="Q775" s="136"/>
      <c r="R775" s="136"/>
      <c r="S775" s="136"/>
      <c r="T775" s="136"/>
      <c r="U775" s="136"/>
      <c r="V775" s="136"/>
      <c r="W775" s="136"/>
      <c r="X775" s="136"/>
      <c r="Y775" s="136"/>
      <c r="Z775" s="136"/>
      <c r="AA775" s="231"/>
    </row>
    <row r="776" spans="1:27" x14ac:dyDescent="0.2">
      <c r="A776" s="39"/>
      <c r="B776" s="39"/>
      <c r="C776" s="43"/>
      <c r="D776" s="43"/>
      <c r="E776" s="43"/>
      <c r="F776" s="132"/>
      <c r="G776" s="41" t="e">
        <f>VLOOKUP(F776,Pcode!A:B,2,FALSE)</f>
        <v>#N/A</v>
      </c>
      <c r="H776" s="41"/>
      <c r="I776" s="41" t="e">
        <f>VLOOKUP(H776,Pcode!C:D,2,FALSE)</f>
        <v>#N/A</v>
      </c>
      <c r="J776" s="41"/>
      <c r="K776" s="160"/>
      <c r="L776" s="160"/>
      <c r="M776" s="46"/>
      <c r="N776" s="136"/>
      <c r="O776" s="136"/>
      <c r="P776" s="136"/>
      <c r="Q776" s="136"/>
      <c r="R776" s="136"/>
      <c r="S776" s="136"/>
      <c r="T776" s="136"/>
      <c r="U776" s="136"/>
      <c r="V776" s="136"/>
      <c r="W776" s="136"/>
      <c r="X776" s="136"/>
      <c r="Y776" s="136"/>
      <c r="Z776" s="136"/>
      <c r="AA776" s="231"/>
    </row>
    <row r="777" spans="1:27" x14ac:dyDescent="0.2">
      <c r="A777" s="39"/>
      <c r="B777" s="39"/>
      <c r="C777" s="43"/>
      <c r="D777" s="43"/>
      <c r="E777" s="43"/>
      <c r="F777" s="132"/>
      <c r="G777" s="41" t="e">
        <f>VLOOKUP(F777,Pcode!A:B,2,FALSE)</f>
        <v>#N/A</v>
      </c>
      <c r="H777" s="41"/>
      <c r="I777" s="41" t="e">
        <f>VLOOKUP(H777,Pcode!C:D,2,FALSE)</f>
        <v>#N/A</v>
      </c>
      <c r="J777" s="41"/>
      <c r="K777" s="160"/>
      <c r="L777" s="160"/>
      <c r="M777" s="46"/>
      <c r="N777" s="136"/>
      <c r="O777" s="136"/>
      <c r="P777" s="136"/>
      <c r="Q777" s="136"/>
      <c r="R777" s="136"/>
      <c r="S777" s="136"/>
      <c r="T777" s="136"/>
      <c r="U777" s="136"/>
      <c r="V777" s="136"/>
      <c r="W777" s="136"/>
      <c r="X777" s="136"/>
      <c r="Y777" s="136"/>
      <c r="Z777" s="136"/>
      <c r="AA777" s="231"/>
    </row>
    <row r="778" spans="1:27" x14ac:dyDescent="0.2">
      <c r="A778" s="39"/>
      <c r="B778" s="39"/>
      <c r="C778" s="43"/>
      <c r="D778" s="43"/>
      <c r="E778" s="43"/>
      <c r="F778" s="132"/>
      <c r="G778" s="41" t="e">
        <f>VLOOKUP(F778,Pcode!A:B,2,FALSE)</f>
        <v>#N/A</v>
      </c>
      <c r="H778" s="41"/>
      <c r="I778" s="41" t="e">
        <f>VLOOKUP(H778,Pcode!C:D,2,FALSE)</f>
        <v>#N/A</v>
      </c>
      <c r="J778" s="41"/>
      <c r="K778" s="160"/>
      <c r="L778" s="160"/>
      <c r="M778" s="46"/>
      <c r="N778" s="136"/>
      <c r="O778" s="136"/>
      <c r="P778" s="136"/>
      <c r="Q778" s="136"/>
      <c r="R778" s="136"/>
      <c r="S778" s="136"/>
      <c r="T778" s="136"/>
      <c r="U778" s="136"/>
      <c r="V778" s="136"/>
      <c r="W778" s="136"/>
      <c r="X778" s="136"/>
      <c r="Y778" s="136"/>
      <c r="Z778" s="136"/>
      <c r="AA778" s="231"/>
    </row>
    <row r="779" spans="1:27" x14ac:dyDescent="0.2">
      <c r="A779" s="39"/>
      <c r="B779" s="39"/>
      <c r="C779" s="43"/>
      <c r="D779" s="43"/>
      <c r="E779" s="43"/>
      <c r="F779" s="132"/>
      <c r="G779" s="41" t="e">
        <f>VLOOKUP(F779,Pcode!A:B,2,FALSE)</f>
        <v>#N/A</v>
      </c>
      <c r="H779" s="41"/>
      <c r="I779" s="41" t="e">
        <f>VLOOKUP(H779,Pcode!C:D,2,FALSE)</f>
        <v>#N/A</v>
      </c>
      <c r="J779" s="41"/>
      <c r="K779" s="160"/>
      <c r="L779" s="160"/>
      <c r="M779" s="46"/>
      <c r="N779" s="136"/>
      <c r="O779" s="136"/>
      <c r="P779" s="136"/>
      <c r="Q779" s="136"/>
      <c r="R779" s="136"/>
      <c r="S779" s="136"/>
      <c r="T779" s="136"/>
      <c r="U779" s="136"/>
      <c r="V779" s="136"/>
      <c r="W779" s="136"/>
      <c r="X779" s="136"/>
      <c r="Y779" s="136"/>
      <c r="Z779" s="136"/>
      <c r="AA779" s="231"/>
    </row>
    <row r="780" spans="1:27" x14ac:dyDescent="0.2">
      <c r="A780" s="39"/>
      <c r="B780" s="39"/>
      <c r="C780" s="43"/>
      <c r="D780" s="43"/>
      <c r="E780" s="43"/>
      <c r="F780" s="132"/>
      <c r="G780" s="41" t="e">
        <f>VLOOKUP(F780,Pcode!A:B,2,FALSE)</f>
        <v>#N/A</v>
      </c>
      <c r="H780" s="41"/>
      <c r="I780" s="41" t="e">
        <f>VLOOKUP(H780,Pcode!C:D,2,FALSE)</f>
        <v>#N/A</v>
      </c>
      <c r="J780" s="41"/>
      <c r="K780" s="160"/>
      <c r="L780" s="160"/>
      <c r="M780" s="46"/>
      <c r="N780" s="136"/>
      <c r="O780" s="136"/>
      <c r="P780" s="136"/>
      <c r="Q780" s="136"/>
      <c r="R780" s="136"/>
      <c r="S780" s="136"/>
      <c r="T780" s="136"/>
      <c r="U780" s="136"/>
      <c r="V780" s="136"/>
      <c r="W780" s="136"/>
      <c r="X780" s="136"/>
      <c r="Y780" s="136"/>
      <c r="Z780" s="136"/>
      <c r="AA780" s="231"/>
    </row>
    <row r="781" spans="1:27" x14ac:dyDescent="0.2">
      <c r="A781" s="39"/>
      <c r="B781" s="39"/>
      <c r="C781" s="43"/>
      <c r="D781" s="43"/>
      <c r="E781" s="43"/>
      <c r="F781" s="132"/>
      <c r="G781" s="41" t="e">
        <f>VLOOKUP(F781,Pcode!A:B,2,FALSE)</f>
        <v>#N/A</v>
      </c>
      <c r="H781" s="41"/>
      <c r="I781" s="41" t="e">
        <f>VLOOKUP(H781,Pcode!C:D,2,FALSE)</f>
        <v>#N/A</v>
      </c>
      <c r="J781" s="41"/>
      <c r="K781" s="160"/>
      <c r="L781" s="160"/>
      <c r="M781" s="46"/>
      <c r="N781" s="136"/>
      <c r="O781" s="136"/>
      <c r="P781" s="136"/>
      <c r="Q781" s="136"/>
      <c r="R781" s="136"/>
      <c r="S781" s="136"/>
      <c r="T781" s="136"/>
      <c r="U781" s="136"/>
      <c r="V781" s="136"/>
      <c r="W781" s="136"/>
      <c r="X781" s="136"/>
      <c r="Y781" s="136"/>
      <c r="Z781" s="136"/>
      <c r="AA781" s="231"/>
    </row>
    <row r="782" spans="1:27" x14ac:dyDescent="0.2">
      <c r="A782" s="39"/>
      <c r="B782" s="39"/>
      <c r="C782" s="43"/>
      <c r="D782" s="43"/>
      <c r="E782" s="43"/>
      <c r="F782" s="132"/>
      <c r="G782" s="41" t="e">
        <f>VLOOKUP(F782,Pcode!A:B,2,FALSE)</f>
        <v>#N/A</v>
      </c>
      <c r="H782" s="41"/>
      <c r="I782" s="41" t="e">
        <f>VLOOKUP(H782,Pcode!C:D,2,FALSE)</f>
        <v>#N/A</v>
      </c>
      <c r="J782" s="41"/>
      <c r="K782" s="160"/>
      <c r="L782" s="160"/>
      <c r="M782" s="46"/>
      <c r="N782" s="136"/>
      <c r="O782" s="136"/>
      <c r="P782" s="136"/>
      <c r="Q782" s="136"/>
      <c r="R782" s="136"/>
      <c r="S782" s="136"/>
      <c r="T782" s="136"/>
      <c r="U782" s="136"/>
      <c r="V782" s="136"/>
      <c r="W782" s="136"/>
      <c r="X782" s="136"/>
      <c r="Y782" s="136"/>
      <c r="Z782" s="136"/>
      <c r="AA782" s="231"/>
    </row>
    <row r="783" spans="1:27" x14ac:dyDescent="0.2">
      <c r="A783" s="39"/>
      <c r="B783" s="39"/>
      <c r="C783" s="43"/>
      <c r="D783" s="43"/>
      <c r="E783" s="43"/>
      <c r="F783" s="132"/>
      <c r="G783" s="41" t="e">
        <f>VLOOKUP(F783,Pcode!A:B,2,FALSE)</f>
        <v>#N/A</v>
      </c>
      <c r="H783" s="41"/>
      <c r="I783" s="41" t="e">
        <f>VLOOKUP(H783,Pcode!C:D,2,FALSE)</f>
        <v>#N/A</v>
      </c>
      <c r="J783" s="41"/>
      <c r="K783" s="160"/>
      <c r="L783" s="160"/>
      <c r="M783" s="46"/>
      <c r="N783" s="136"/>
      <c r="O783" s="136"/>
      <c r="P783" s="136"/>
      <c r="Q783" s="136"/>
      <c r="R783" s="136"/>
      <c r="S783" s="136"/>
      <c r="T783" s="136"/>
      <c r="U783" s="136"/>
      <c r="V783" s="136"/>
      <c r="W783" s="136"/>
      <c r="X783" s="136"/>
      <c r="Y783" s="136"/>
      <c r="Z783" s="136"/>
      <c r="AA783" s="231"/>
    </row>
    <row r="784" spans="1:27" x14ac:dyDescent="0.2">
      <c r="A784" s="39"/>
      <c r="B784" s="39"/>
      <c r="C784" s="43"/>
      <c r="D784" s="43"/>
      <c r="E784" s="43"/>
      <c r="F784" s="132"/>
      <c r="G784" s="41" t="e">
        <f>VLOOKUP(F784,Pcode!A:B,2,FALSE)</f>
        <v>#N/A</v>
      </c>
      <c r="H784" s="41"/>
      <c r="I784" s="41" t="e">
        <f>VLOOKUP(H784,Pcode!C:D,2,FALSE)</f>
        <v>#N/A</v>
      </c>
      <c r="J784" s="41"/>
      <c r="K784" s="160"/>
      <c r="L784" s="160"/>
      <c r="M784" s="46"/>
      <c r="N784" s="136"/>
      <c r="O784" s="136"/>
      <c r="P784" s="136"/>
      <c r="Q784" s="136"/>
      <c r="R784" s="136"/>
      <c r="S784" s="136"/>
      <c r="T784" s="136"/>
      <c r="U784" s="136"/>
      <c r="V784" s="136"/>
      <c r="W784" s="136"/>
      <c r="X784" s="136"/>
      <c r="Y784" s="136"/>
      <c r="Z784" s="136"/>
      <c r="AA784" s="231"/>
    </row>
    <row r="785" spans="1:27" x14ac:dyDescent="0.2">
      <c r="A785" s="39"/>
      <c r="B785" s="39"/>
      <c r="C785" s="43"/>
      <c r="D785" s="43"/>
      <c r="E785" s="43"/>
      <c r="F785" s="132"/>
      <c r="G785" s="41" t="e">
        <f>VLOOKUP(F785,Pcode!A:B,2,FALSE)</f>
        <v>#N/A</v>
      </c>
      <c r="H785" s="41"/>
      <c r="I785" s="41" t="e">
        <f>VLOOKUP(H785,Pcode!C:D,2,FALSE)</f>
        <v>#N/A</v>
      </c>
      <c r="J785" s="41"/>
      <c r="K785" s="160"/>
      <c r="L785" s="160"/>
      <c r="M785" s="46"/>
      <c r="N785" s="136"/>
      <c r="O785" s="136"/>
      <c r="P785" s="136"/>
      <c r="Q785" s="136"/>
      <c r="R785" s="136"/>
      <c r="S785" s="136"/>
      <c r="T785" s="136"/>
      <c r="U785" s="136"/>
      <c r="V785" s="136"/>
      <c r="W785" s="136"/>
      <c r="X785" s="136"/>
      <c r="Y785" s="136"/>
      <c r="Z785" s="136"/>
      <c r="AA785" s="231"/>
    </row>
    <row r="786" spans="1:27" x14ac:dyDescent="0.2">
      <c r="A786" s="39"/>
      <c r="B786" s="39"/>
      <c r="C786" s="43"/>
      <c r="D786" s="43"/>
      <c r="E786" s="43"/>
      <c r="F786" s="132"/>
      <c r="G786" s="41" t="e">
        <f>VLOOKUP(F786,Pcode!A:B,2,FALSE)</f>
        <v>#N/A</v>
      </c>
      <c r="H786" s="41"/>
      <c r="I786" s="41" t="e">
        <f>VLOOKUP(H786,Pcode!C:D,2,FALSE)</f>
        <v>#N/A</v>
      </c>
      <c r="J786" s="41"/>
      <c r="K786" s="160"/>
      <c r="L786" s="160"/>
      <c r="M786" s="46"/>
      <c r="N786" s="136"/>
      <c r="O786" s="136"/>
      <c r="P786" s="136"/>
      <c r="Q786" s="136"/>
      <c r="R786" s="136"/>
      <c r="S786" s="136"/>
      <c r="T786" s="136"/>
      <c r="U786" s="136"/>
      <c r="V786" s="136"/>
      <c r="W786" s="136"/>
      <c r="X786" s="136"/>
      <c r="Y786" s="136"/>
      <c r="Z786" s="136"/>
      <c r="AA786" s="231"/>
    </row>
    <row r="787" spans="1:27" x14ac:dyDescent="0.2">
      <c r="A787" s="39"/>
      <c r="B787" s="39"/>
      <c r="C787" s="43"/>
      <c r="D787" s="43"/>
      <c r="E787" s="43"/>
      <c r="F787" s="132"/>
      <c r="G787" s="41" t="e">
        <f>VLOOKUP(F787,Pcode!A:B,2,FALSE)</f>
        <v>#N/A</v>
      </c>
      <c r="H787" s="41"/>
      <c r="I787" s="41" t="e">
        <f>VLOOKUP(H787,Pcode!C:D,2,FALSE)</f>
        <v>#N/A</v>
      </c>
      <c r="J787" s="41"/>
      <c r="K787" s="160"/>
      <c r="L787" s="160"/>
      <c r="M787" s="46"/>
      <c r="N787" s="136"/>
      <c r="O787" s="136"/>
      <c r="P787" s="136"/>
      <c r="Q787" s="136"/>
      <c r="R787" s="136"/>
      <c r="S787" s="136"/>
      <c r="T787" s="136"/>
      <c r="U787" s="136"/>
      <c r="V787" s="136"/>
      <c r="W787" s="136"/>
      <c r="X787" s="136"/>
      <c r="Y787" s="136"/>
      <c r="Z787" s="136"/>
      <c r="AA787" s="231"/>
    </row>
    <row r="788" spans="1:27" x14ac:dyDescent="0.2">
      <c r="A788" s="39"/>
      <c r="B788" s="39"/>
      <c r="C788" s="43"/>
      <c r="D788" s="43"/>
      <c r="E788" s="43"/>
      <c r="F788" s="132"/>
      <c r="G788" s="41" t="e">
        <f>VLOOKUP(F788,Pcode!A:B,2,FALSE)</f>
        <v>#N/A</v>
      </c>
      <c r="H788" s="41"/>
      <c r="I788" s="41" t="e">
        <f>VLOOKUP(H788,Pcode!C:D,2,FALSE)</f>
        <v>#N/A</v>
      </c>
      <c r="J788" s="41"/>
      <c r="K788" s="160"/>
      <c r="L788" s="160"/>
      <c r="M788" s="46"/>
      <c r="N788" s="136"/>
      <c r="O788" s="136"/>
      <c r="P788" s="136"/>
      <c r="Q788" s="136"/>
      <c r="R788" s="136"/>
      <c r="S788" s="136"/>
      <c r="T788" s="136"/>
      <c r="U788" s="136"/>
      <c r="V788" s="136"/>
      <c r="W788" s="136"/>
      <c r="X788" s="136"/>
      <c r="Y788" s="136"/>
      <c r="Z788" s="136"/>
      <c r="AA788" s="231"/>
    </row>
    <row r="789" spans="1:27" x14ac:dyDescent="0.2">
      <c r="A789" s="39"/>
      <c r="B789" s="39"/>
      <c r="C789" s="43"/>
      <c r="D789" s="43"/>
      <c r="E789" s="43"/>
      <c r="F789" s="132"/>
      <c r="G789" s="41" t="e">
        <f>VLOOKUP(F789,Pcode!A:B,2,FALSE)</f>
        <v>#N/A</v>
      </c>
      <c r="H789" s="41"/>
      <c r="I789" s="41" t="e">
        <f>VLOOKUP(H789,Pcode!C:D,2,FALSE)</f>
        <v>#N/A</v>
      </c>
      <c r="J789" s="41"/>
      <c r="K789" s="160"/>
      <c r="L789" s="160"/>
      <c r="M789" s="46"/>
      <c r="N789" s="136"/>
      <c r="O789" s="136"/>
      <c r="P789" s="136"/>
      <c r="Q789" s="136"/>
      <c r="R789" s="136"/>
      <c r="S789" s="136"/>
      <c r="T789" s="136"/>
      <c r="U789" s="136"/>
      <c r="V789" s="136"/>
      <c r="W789" s="136"/>
      <c r="X789" s="136"/>
      <c r="Y789" s="136"/>
      <c r="Z789" s="136"/>
      <c r="AA789" s="231"/>
    </row>
    <row r="790" spans="1:27" x14ac:dyDescent="0.2">
      <c r="A790" s="39"/>
      <c r="B790" s="39"/>
      <c r="C790" s="43"/>
      <c r="D790" s="43"/>
      <c r="E790" s="43"/>
      <c r="F790" s="132"/>
      <c r="G790" s="41" t="e">
        <f>VLOOKUP(F790,Pcode!A:B,2,FALSE)</f>
        <v>#N/A</v>
      </c>
      <c r="H790" s="41"/>
      <c r="I790" s="41" t="e">
        <f>VLOOKUP(H790,Pcode!C:D,2,FALSE)</f>
        <v>#N/A</v>
      </c>
      <c r="J790" s="41"/>
      <c r="K790" s="160"/>
      <c r="L790" s="160"/>
      <c r="M790" s="46"/>
      <c r="N790" s="136"/>
      <c r="O790" s="136"/>
      <c r="P790" s="136"/>
      <c r="Q790" s="136"/>
      <c r="R790" s="136"/>
      <c r="S790" s="136"/>
      <c r="T790" s="136"/>
      <c r="U790" s="136"/>
      <c r="V790" s="136"/>
      <c r="W790" s="136"/>
      <c r="X790" s="136"/>
      <c r="Y790" s="136"/>
      <c r="Z790" s="136"/>
      <c r="AA790" s="231"/>
    </row>
    <row r="791" spans="1:27" x14ac:dyDescent="0.2">
      <c r="A791" s="39"/>
      <c r="B791" s="39"/>
      <c r="C791" s="43"/>
      <c r="D791" s="43"/>
      <c r="E791" s="43"/>
      <c r="F791" s="132"/>
      <c r="G791" s="41" t="e">
        <f>VLOOKUP(F791,Pcode!A:B,2,FALSE)</f>
        <v>#N/A</v>
      </c>
      <c r="H791" s="41"/>
      <c r="I791" s="41" t="e">
        <f>VLOOKUP(H791,Pcode!C:D,2,FALSE)</f>
        <v>#N/A</v>
      </c>
      <c r="J791" s="41"/>
      <c r="K791" s="160"/>
      <c r="L791" s="160"/>
      <c r="M791" s="46"/>
      <c r="N791" s="136"/>
      <c r="O791" s="136"/>
      <c r="P791" s="136"/>
      <c r="Q791" s="136"/>
      <c r="R791" s="136"/>
      <c r="S791" s="136"/>
      <c r="T791" s="136"/>
      <c r="U791" s="136"/>
      <c r="V791" s="136"/>
      <c r="W791" s="136"/>
      <c r="X791" s="136"/>
      <c r="Y791" s="136"/>
      <c r="Z791" s="136"/>
      <c r="AA791" s="231"/>
    </row>
    <row r="792" spans="1:27" x14ac:dyDescent="0.2">
      <c r="A792" s="39"/>
      <c r="B792" s="39"/>
      <c r="C792" s="43"/>
      <c r="D792" s="43"/>
      <c r="E792" s="43"/>
      <c r="F792" s="132"/>
      <c r="G792" s="41" t="e">
        <f>VLOOKUP(F792,Pcode!A:B,2,FALSE)</f>
        <v>#N/A</v>
      </c>
      <c r="H792" s="41"/>
      <c r="I792" s="41" t="e">
        <f>VLOOKUP(H792,Pcode!C:D,2,FALSE)</f>
        <v>#N/A</v>
      </c>
      <c r="J792" s="41"/>
      <c r="K792" s="160"/>
      <c r="L792" s="160"/>
      <c r="M792" s="46"/>
      <c r="N792" s="136"/>
      <c r="O792" s="136"/>
      <c r="P792" s="136"/>
      <c r="Q792" s="136"/>
      <c r="R792" s="136"/>
      <c r="S792" s="136"/>
      <c r="T792" s="136"/>
      <c r="U792" s="136"/>
      <c r="V792" s="136"/>
      <c r="W792" s="136"/>
      <c r="X792" s="136"/>
      <c r="Y792" s="136"/>
      <c r="Z792" s="136"/>
      <c r="AA792" s="231"/>
    </row>
    <row r="793" spans="1:27" x14ac:dyDescent="0.2">
      <c r="A793" s="39"/>
      <c r="B793" s="39"/>
      <c r="C793" s="43"/>
      <c r="D793" s="43"/>
      <c r="E793" s="43"/>
      <c r="F793" s="132"/>
      <c r="G793" s="41" t="e">
        <f>VLOOKUP(F793,Pcode!A:B,2,FALSE)</f>
        <v>#N/A</v>
      </c>
      <c r="H793" s="41"/>
      <c r="I793" s="41" t="e">
        <f>VLOOKUP(H793,Pcode!C:D,2,FALSE)</f>
        <v>#N/A</v>
      </c>
      <c r="J793" s="41"/>
      <c r="K793" s="160"/>
      <c r="L793" s="160"/>
      <c r="M793" s="46"/>
      <c r="N793" s="136"/>
      <c r="O793" s="136"/>
      <c r="P793" s="136"/>
      <c r="Q793" s="136"/>
      <c r="R793" s="136"/>
      <c r="S793" s="136"/>
      <c r="T793" s="136"/>
      <c r="U793" s="136"/>
      <c r="V793" s="136"/>
      <c r="W793" s="136"/>
      <c r="X793" s="136"/>
      <c r="Y793" s="136"/>
      <c r="Z793" s="136"/>
      <c r="AA793" s="231"/>
    </row>
    <row r="794" spans="1:27" x14ac:dyDescent="0.2">
      <c r="A794" s="39"/>
      <c r="B794" s="39"/>
      <c r="C794" s="43"/>
      <c r="D794" s="43"/>
      <c r="E794" s="43"/>
      <c r="F794" s="132"/>
      <c r="G794" s="41" t="e">
        <f>VLOOKUP(F794,Pcode!A:B,2,FALSE)</f>
        <v>#N/A</v>
      </c>
      <c r="H794" s="41"/>
      <c r="I794" s="41" t="e">
        <f>VLOOKUP(H794,Pcode!C:D,2,FALSE)</f>
        <v>#N/A</v>
      </c>
      <c r="J794" s="41"/>
      <c r="K794" s="160"/>
      <c r="L794" s="160"/>
      <c r="M794" s="46"/>
      <c r="N794" s="136"/>
      <c r="O794" s="136"/>
      <c r="P794" s="136"/>
      <c r="Q794" s="136"/>
      <c r="R794" s="136"/>
      <c r="S794" s="136"/>
      <c r="T794" s="136"/>
      <c r="U794" s="136"/>
      <c r="V794" s="136"/>
      <c r="W794" s="136"/>
      <c r="X794" s="136"/>
      <c r="Y794" s="136"/>
      <c r="Z794" s="136"/>
      <c r="AA794" s="231"/>
    </row>
    <row r="795" spans="1:27" x14ac:dyDescent="0.2">
      <c r="A795" s="39"/>
      <c r="B795" s="39"/>
      <c r="C795" s="43"/>
      <c r="D795" s="43"/>
      <c r="E795" s="43"/>
      <c r="F795" s="132"/>
      <c r="G795" s="41" t="e">
        <f>VLOOKUP(F795,Pcode!A:B,2,FALSE)</f>
        <v>#N/A</v>
      </c>
      <c r="H795" s="41"/>
      <c r="I795" s="41" t="e">
        <f>VLOOKUP(H795,Pcode!C:D,2,FALSE)</f>
        <v>#N/A</v>
      </c>
      <c r="J795" s="41"/>
      <c r="K795" s="160"/>
      <c r="L795" s="160"/>
      <c r="M795" s="46"/>
      <c r="N795" s="136"/>
      <c r="O795" s="136"/>
      <c r="P795" s="136"/>
      <c r="Q795" s="136"/>
      <c r="R795" s="136"/>
      <c r="S795" s="136"/>
      <c r="T795" s="136"/>
      <c r="U795" s="136"/>
      <c r="V795" s="136"/>
      <c r="W795" s="136"/>
      <c r="X795" s="136"/>
      <c r="Y795" s="136"/>
      <c r="Z795" s="136"/>
      <c r="AA795" s="231"/>
    </row>
    <row r="796" spans="1:27" x14ac:dyDescent="0.2">
      <c r="A796" s="39"/>
      <c r="B796" s="39"/>
      <c r="C796" s="43"/>
      <c r="D796" s="43"/>
      <c r="E796" s="43"/>
      <c r="F796" s="132"/>
      <c r="G796" s="41" t="e">
        <f>VLOOKUP(F796,Pcode!A:B,2,FALSE)</f>
        <v>#N/A</v>
      </c>
      <c r="H796" s="41"/>
      <c r="I796" s="41" t="e">
        <f>VLOOKUP(H796,Pcode!C:D,2,FALSE)</f>
        <v>#N/A</v>
      </c>
      <c r="J796" s="41"/>
      <c r="K796" s="160"/>
      <c r="L796" s="160"/>
      <c r="M796" s="46"/>
      <c r="N796" s="136"/>
      <c r="O796" s="136"/>
      <c r="P796" s="136"/>
      <c r="Q796" s="136"/>
      <c r="R796" s="136"/>
      <c r="S796" s="136"/>
      <c r="T796" s="136"/>
      <c r="U796" s="136"/>
      <c r="V796" s="136"/>
      <c r="W796" s="136"/>
      <c r="X796" s="136"/>
      <c r="Y796" s="136"/>
      <c r="Z796" s="136"/>
      <c r="AA796" s="231"/>
    </row>
    <row r="797" spans="1:27" x14ac:dyDescent="0.2">
      <c r="A797" s="39"/>
      <c r="B797" s="39"/>
      <c r="C797" s="43"/>
      <c r="D797" s="43"/>
      <c r="E797" s="43"/>
      <c r="F797" s="132"/>
      <c r="G797" s="41" t="e">
        <f>VLOOKUP(F797,Pcode!A:B,2,FALSE)</f>
        <v>#N/A</v>
      </c>
      <c r="H797" s="41"/>
      <c r="I797" s="41" t="e">
        <f>VLOOKUP(H797,Pcode!C:D,2,FALSE)</f>
        <v>#N/A</v>
      </c>
      <c r="J797" s="41"/>
      <c r="K797" s="160"/>
      <c r="L797" s="160"/>
      <c r="M797" s="46"/>
      <c r="N797" s="136"/>
      <c r="O797" s="136"/>
      <c r="P797" s="136"/>
      <c r="Q797" s="136"/>
      <c r="R797" s="136"/>
      <c r="S797" s="136"/>
      <c r="T797" s="136"/>
      <c r="U797" s="136"/>
      <c r="V797" s="136"/>
      <c r="W797" s="136"/>
      <c r="X797" s="136"/>
      <c r="Y797" s="136"/>
      <c r="Z797" s="136"/>
      <c r="AA797" s="231"/>
    </row>
    <row r="798" spans="1:27" x14ac:dyDescent="0.2">
      <c r="A798" s="39"/>
      <c r="B798" s="39"/>
      <c r="C798" s="43"/>
      <c r="D798" s="43"/>
      <c r="E798" s="43"/>
      <c r="F798" s="132"/>
      <c r="G798" s="41" t="e">
        <f>VLOOKUP(F798,Pcode!A:B,2,FALSE)</f>
        <v>#N/A</v>
      </c>
      <c r="H798" s="41"/>
      <c r="I798" s="41" t="e">
        <f>VLOOKUP(H798,Pcode!C:D,2,FALSE)</f>
        <v>#N/A</v>
      </c>
      <c r="J798" s="41"/>
      <c r="K798" s="160"/>
      <c r="L798" s="160"/>
      <c r="M798" s="46"/>
      <c r="N798" s="136"/>
      <c r="O798" s="136"/>
      <c r="P798" s="136"/>
      <c r="Q798" s="136"/>
      <c r="R798" s="136"/>
      <c r="S798" s="136"/>
      <c r="T798" s="136"/>
      <c r="U798" s="136"/>
      <c r="V798" s="136"/>
      <c r="W798" s="136"/>
      <c r="X798" s="136"/>
      <c r="Y798" s="136"/>
      <c r="Z798" s="136"/>
      <c r="AA798" s="231"/>
    </row>
    <row r="799" spans="1:27" x14ac:dyDescent="0.2">
      <c r="A799" s="39"/>
      <c r="B799" s="39"/>
      <c r="C799" s="43"/>
      <c r="D799" s="43"/>
      <c r="E799" s="43"/>
      <c r="F799" s="132"/>
      <c r="G799" s="41" t="e">
        <f>VLOOKUP(F799,Pcode!A:B,2,FALSE)</f>
        <v>#N/A</v>
      </c>
      <c r="H799" s="41"/>
      <c r="I799" s="41" t="e">
        <f>VLOOKUP(H799,Pcode!C:D,2,FALSE)</f>
        <v>#N/A</v>
      </c>
      <c r="J799" s="41"/>
      <c r="K799" s="160"/>
      <c r="L799" s="160"/>
      <c r="M799" s="46"/>
      <c r="N799" s="136"/>
      <c r="O799" s="136"/>
      <c r="P799" s="136"/>
      <c r="Q799" s="136"/>
      <c r="R799" s="136"/>
      <c r="S799" s="136"/>
      <c r="T799" s="136"/>
      <c r="U799" s="136"/>
      <c r="V799" s="136"/>
      <c r="W799" s="136"/>
      <c r="X799" s="136"/>
      <c r="Y799" s="136"/>
      <c r="Z799" s="136"/>
      <c r="AA799" s="231"/>
    </row>
    <row r="800" spans="1:27" x14ac:dyDescent="0.2">
      <c r="A800" s="39"/>
      <c r="B800" s="39"/>
      <c r="C800" s="43"/>
      <c r="D800" s="43"/>
      <c r="E800" s="43"/>
      <c r="F800" s="132"/>
      <c r="G800" s="41" t="e">
        <f>VLOOKUP(F800,Pcode!A:B,2,FALSE)</f>
        <v>#N/A</v>
      </c>
      <c r="H800" s="41"/>
      <c r="I800" s="41" t="e">
        <f>VLOOKUP(H800,Pcode!C:D,2,FALSE)</f>
        <v>#N/A</v>
      </c>
      <c r="J800" s="41"/>
      <c r="K800" s="160"/>
      <c r="L800" s="160"/>
      <c r="M800" s="46"/>
      <c r="N800" s="136"/>
      <c r="O800" s="136"/>
      <c r="P800" s="136"/>
      <c r="Q800" s="136"/>
      <c r="R800" s="136"/>
      <c r="S800" s="136"/>
      <c r="T800" s="136"/>
      <c r="U800" s="136"/>
      <c r="V800" s="136"/>
      <c r="W800" s="136"/>
      <c r="X800" s="136"/>
      <c r="Y800" s="136"/>
      <c r="Z800" s="136"/>
      <c r="AA800" s="231"/>
    </row>
    <row r="801" spans="1:27" x14ac:dyDescent="0.2">
      <c r="A801" s="39"/>
      <c r="B801" s="39"/>
      <c r="C801" s="43"/>
      <c r="D801" s="43"/>
      <c r="E801" s="43"/>
      <c r="F801" s="132"/>
      <c r="G801" s="41" t="e">
        <f>VLOOKUP(F801,Pcode!A:B,2,FALSE)</f>
        <v>#N/A</v>
      </c>
      <c r="H801" s="41"/>
      <c r="I801" s="41" t="e">
        <f>VLOOKUP(H801,Pcode!C:D,2,FALSE)</f>
        <v>#N/A</v>
      </c>
      <c r="J801" s="41"/>
      <c r="K801" s="160"/>
      <c r="L801" s="160"/>
      <c r="M801" s="46"/>
      <c r="N801" s="136"/>
      <c r="O801" s="136"/>
      <c r="P801" s="136"/>
      <c r="Q801" s="136"/>
      <c r="R801" s="136"/>
      <c r="S801" s="136"/>
      <c r="T801" s="136"/>
      <c r="U801" s="136"/>
      <c r="V801" s="136"/>
      <c r="W801" s="136"/>
      <c r="X801" s="136"/>
      <c r="Y801" s="136"/>
      <c r="Z801" s="136"/>
      <c r="AA801" s="231"/>
    </row>
    <row r="802" spans="1:27" x14ac:dyDescent="0.2">
      <c r="A802" s="39"/>
      <c r="B802" s="39"/>
      <c r="C802" s="43"/>
      <c r="D802" s="43"/>
      <c r="E802" s="43"/>
      <c r="F802" s="132"/>
      <c r="G802" s="41" t="e">
        <f>VLOOKUP(F802,Pcode!A:B,2,FALSE)</f>
        <v>#N/A</v>
      </c>
      <c r="H802" s="41"/>
      <c r="I802" s="41" t="e">
        <f>VLOOKUP(H802,Pcode!C:D,2,FALSE)</f>
        <v>#N/A</v>
      </c>
      <c r="J802" s="41"/>
      <c r="K802" s="160"/>
      <c r="L802" s="160"/>
      <c r="M802" s="46"/>
      <c r="N802" s="136"/>
      <c r="O802" s="136"/>
      <c r="P802" s="136"/>
      <c r="Q802" s="136"/>
      <c r="R802" s="136"/>
      <c r="S802" s="136"/>
      <c r="T802" s="136"/>
      <c r="U802" s="136"/>
      <c r="V802" s="136"/>
      <c r="W802" s="136"/>
      <c r="X802" s="136"/>
      <c r="Y802" s="136"/>
      <c r="Z802" s="136"/>
      <c r="AA802" s="231"/>
    </row>
    <row r="803" spans="1:27" x14ac:dyDescent="0.2">
      <c r="A803" s="39"/>
      <c r="B803" s="39"/>
      <c r="C803" s="43"/>
      <c r="D803" s="43"/>
      <c r="E803" s="43"/>
      <c r="F803" s="132"/>
      <c r="G803" s="41" t="e">
        <f>VLOOKUP(F803,Pcode!A:B,2,FALSE)</f>
        <v>#N/A</v>
      </c>
      <c r="H803" s="41"/>
      <c r="I803" s="41" t="e">
        <f>VLOOKUP(H803,Pcode!C:D,2,FALSE)</f>
        <v>#N/A</v>
      </c>
      <c r="J803" s="41"/>
      <c r="K803" s="160"/>
      <c r="L803" s="160"/>
      <c r="M803" s="46"/>
      <c r="N803" s="136"/>
      <c r="O803" s="136"/>
      <c r="P803" s="136"/>
      <c r="Q803" s="136"/>
      <c r="R803" s="136"/>
      <c r="S803" s="136"/>
      <c r="T803" s="136"/>
      <c r="U803" s="136"/>
      <c r="V803" s="136"/>
      <c r="W803" s="136"/>
      <c r="X803" s="136"/>
      <c r="Y803" s="136"/>
      <c r="Z803" s="136"/>
      <c r="AA803" s="231"/>
    </row>
    <row r="804" spans="1:27" x14ac:dyDescent="0.2">
      <c r="A804" s="39"/>
      <c r="B804" s="39"/>
      <c r="C804" s="43"/>
      <c r="D804" s="43"/>
      <c r="E804" s="43"/>
      <c r="F804" s="132"/>
      <c r="G804" s="41" t="e">
        <f>VLOOKUP(F804,Pcode!A:B,2,FALSE)</f>
        <v>#N/A</v>
      </c>
      <c r="H804" s="41"/>
      <c r="I804" s="41" t="e">
        <f>VLOOKUP(H804,Pcode!C:D,2,FALSE)</f>
        <v>#N/A</v>
      </c>
      <c r="J804" s="41"/>
      <c r="K804" s="160"/>
      <c r="L804" s="160"/>
      <c r="M804" s="46"/>
      <c r="N804" s="136"/>
      <c r="O804" s="136"/>
      <c r="P804" s="136"/>
      <c r="Q804" s="136"/>
      <c r="R804" s="136"/>
      <c r="S804" s="136"/>
      <c r="T804" s="136"/>
      <c r="U804" s="136"/>
      <c r="V804" s="136"/>
      <c r="W804" s="136"/>
      <c r="X804" s="136"/>
      <c r="Y804" s="136"/>
      <c r="Z804" s="136"/>
      <c r="AA804" s="231"/>
    </row>
    <row r="805" spans="1:27" x14ac:dyDescent="0.2">
      <c r="A805" s="39"/>
      <c r="B805" s="39"/>
      <c r="C805" s="43"/>
      <c r="D805" s="43"/>
      <c r="E805" s="43"/>
      <c r="F805" s="132"/>
      <c r="G805" s="41" t="e">
        <f>VLOOKUP(F805,Pcode!A:B,2,FALSE)</f>
        <v>#N/A</v>
      </c>
      <c r="H805" s="41"/>
      <c r="I805" s="41" t="e">
        <f>VLOOKUP(H805,Pcode!C:D,2,FALSE)</f>
        <v>#N/A</v>
      </c>
      <c r="J805" s="41"/>
      <c r="K805" s="160"/>
      <c r="L805" s="160"/>
      <c r="M805" s="46"/>
      <c r="N805" s="136"/>
      <c r="O805" s="136"/>
      <c r="P805" s="136"/>
      <c r="Q805" s="136"/>
      <c r="R805" s="136"/>
      <c r="S805" s="136"/>
      <c r="T805" s="136"/>
      <c r="U805" s="136"/>
      <c r="V805" s="136"/>
      <c r="W805" s="136"/>
      <c r="X805" s="136"/>
      <c r="Y805" s="136"/>
      <c r="Z805" s="136"/>
      <c r="AA805" s="231"/>
    </row>
    <row r="806" spans="1:27" x14ac:dyDescent="0.2">
      <c r="A806" s="39"/>
      <c r="B806" s="39"/>
      <c r="C806" s="43"/>
      <c r="D806" s="43"/>
      <c r="E806" s="43"/>
      <c r="F806" s="132"/>
      <c r="G806" s="41" t="e">
        <f>VLOOKUP(F806,Pcode!A:B,2,FALSE)</f>
        <v>#N/A</v>
      </c>
      <c r="H806" s="41"/>
      <c r="I806" s="41" t="e">
        <f>VLOOKUP(H806,Pcode!C:D,2,FALSE)</f>
        <v>#N/A</v>
      </c>
      <c r="J806" s="41"/>
      <c r="K806" s="160"/>
      <c r="L806" s="160"/>
      <c r="M806" s="46"/>
      <c r="N806" s="136"/>
      <c r="O806" s="136"/>
      <c r="P806" s="136"/>
      <c r="Q806" s="136"/>
      <c r="R806" s="136"/>
      <c r="S806" s="136"/>
      <c r="T806" s="136"/>
      <c r="U806" s="136"/>
      <c r="V806" s="136"/>
      <c r="W806" s="136"/>
      <c r="X806" s="136"/>
      <c r="Y806" s="136"/>
      <c r="Z806" s="136"/>
      <c r="AA806" s="231"/>
    </row>
    <row r="807" spans="1:27" x14ac:dyDescent="0.2">
      <c r="A807" s="39"/>
      <c r="B807" s="39"/>
      <c r="C807" s="43"/>
      <c r="D807" s="43"/>
      <c r="E807" s="43"/>
      <c r="F807" s="132"/>
      <c r="G807" s="41" t="e">
        <f>VLOOKUP(F807,Pcode!A:B,2,FALSE)</f>
        <v>#N/A</v>
      </c>
      <c r="H807" s="41"/>
      <c r="I807" s="41" t="e">
        <f>VLOOKUP(H807,Pcode!C:D,2,FALSE)</f>
        <v>#N/A</v>
      </c>
      <c r="J807" s="41"/>
      <c r="K807" s="160"/>
      <c r="L807" s="160"/>
      <c r="M807" s="46"/>
      <c r="N807" s="136"/>
      <c r="O807" s="136"/>
      <c r="P807" s="136"/>
      <c r="Q807" s="136"/>
      <c r="R807" s="136"/>
      <c r="S807" s="136"/>
      <c r="T807" s="136"/>
      <c r="U807" s="136"/>
      <c r="V807" s="136"/>
      <c r="W807" s="136"/>
      <c r="X807" s="136"/>
      <c r="Y807" s="136"/>
      <c r="Z807" s="136"/>
      <c r="AA807" s="231"/>
    </row>
    <row r="808" spans="1:27" x14ac:dyDescent="0.2">
      <c r="A808" s="39"/>
      <c r="B808" s="39"/>
      <c r="C808" s="43"/>
      <c r="D808" s="43"/>
      <c r="E808" s="43"/>
      <c r="F808" s="132"/>
      <c r="G808" s="41" t="e">
        <f>VLOOKUP(F808,Pcode!A:B,2,FALSE)</f>
        <v>#N/A</v>
      </c>
      <c r="H808" s="41"/>
      <c r="I808" s="41" t="e">
        <f>VLOOKUP(H808,Pcode!C:D,2,FALSE)</f>
        <v>#N/A</v>
      </c>
      <c r="J808" s="41"/>
      <c r="K808" s="160"/>
      <c r="L808" s="160"/>
      <c r="M808" s="46"/>
      <c r="N808" s="136"/>
      <c r="O808" s="136"/>
      <c r="P808" s="136"/>
      <c r="Q808" s="136"/>
      <c r="R808" s="136"/>
      <c r="S808" s="136"/>
      <c r="T808" s="136"/>
      <c r="U808" s="136"/>
      <c r="V808" s="136"/>
      <c r="W808" s="136"/>
      <c r="X808" s="136"/>
      <c r="Y808" s="136"/>
      <c r="Z808" s="136"/>
      <c r="AA808" s="231"/>
    </row>
    <row r="809" spans="1:27" x14ac:dyDescent="0.2">
      <c r="A809" s="39"/>
      <c r="B809" s="39"/>
      <c r="C809" s="43"/>
      <c r="D809" s="43"/>
      <c r="E809" s="43"/>
      <c r="F809" s="132"/>
      <c r="G809" s="41" t="e">
        <f>VLOOKUP(F809,Pcode!A:B,2,FALSE)</f>
        <v>#N/A</v>
      </c>
      <c r="H809" s="41"/>
      <c r="I809" s="41" t="e">
        <f>VLOOKUP(H809,Pcode!C:D,2,FALSE)</f>
        <v>#N/A</v>
      </c>
      <c r="J809" s="41"/>
      <c r="K809" s="160"/>
      <c r="L809" s="160"/>
      <c r="M809" s="46"/>
      <c r="N809" s="136"/>
      <c r="O809" s="136"/>
      <c r="P809" s="136"/>
      <c r="Q809" s="136"/>
      <c r="R809" s="136"/>
      <c r="S809" s="136"/>
      <c r="T809" s="136"/>
      <c r="U809" s="136"/>
      <c r="V809" s="136"/>
      <c r="W809" s="136"/>
      <c r="X809" s="136"/>
      <c r="Y809" s="136"/>
      <c r="Z809" s="136"/>
      <c r="AA809" s="231"/>
    </row>
    <row r="810" spans="1:27" x14ac:dyDescent="0.2">
      <c r="A810" s="39"/>
      <c r="B810" s="39"/>
      <c r="C810" s="43"/>
      <c r="D810" s="43"/>
      <c r="E810" s="43"/>
      <c r="F810" s="132"/>
      <c r="G810" s="41" t="e">
        <f>VLOOKUP(F810,Pcode!A:B,2,FALSE)</f>
        <v>#N/A</v>
      </c>
      <c r="H810" s="41"/>
      <c r="I810" s="41" t="e">
        <f>VLOOKUP(H810,Pcode!C:D,2,FALSE)</f>
        <v>#N/A</v>
      </c>
      <c r="J810" s="41"/>
      <c r="K810" s="160"/>
      <c r="L810" s="160"/>
      <c r="M810" s="46"/>
      <c r="N810" s="136"/>
      <c r="O810" s="136"/>
      <c r="P810" s="136"/>
      <c r="Q810" s="136"/>
      <c r="R810" s="136"/>
      <c r="S810" s="136"/>
      <c r="T810" s="136"/>
      <c r="U810" s="136"/>
      <c r="V810" s="136"/>
      <c r="W810" s="136"/>
      <c r="X810" s="136"/>
      <c r="Y810" s="136"/>
      <c r="Z810" s="136"/>
      <c r="AA810" s="231"/>
    </row>
    <row r="811" spans="1:27" x14ac:dyDescent="0.2">
      <c r="A811" s="39"/>
      <c r="B811" s="39"/>
      <c r="C811" s="43"/>
      <c r="D811" s="43"/>
      <c r="E811" s="43"/>
      <c r="F811" s="132"/>
      <c r="G811" s="41" t="e">
        <f>VLOOKUP(F811,Pcode!A:B,2,FALSE)</f>
        <v>#N/A</v>
      </c>
      <c r="H811" s="41"/>
      <c r="I811" s="41" t="e">
        <f>VLOOKUP(H811,Pcode!C:D,2,FALSE)</f>
        <v>#N/A</v>
      </c>
      <c r="J811" s="41"/>
      <c r="K811" s="160"/>
      <c r="L811" s="160"/>
      <c r="M811" s="46"/>
      <c r="N811" s="136"/>
      <c r="O811" s="136"/>
      <c r="P811" s="136"/>
      <c r="Q811" s="136"/>
      <c r="R811" s="136"/>
      <c r="S811" s="136"/>
      <c r="T811" s="136"/>
      <c r="U811" s="136"/>
      <c r="V811" s="136"/>
      <c r="W811" s="136"/>
      <c r="X811" s="136"/>
      <c r="Y811" s="136"/>
      <c r="Z811" s="136"/>
      <c r="AA811" s="231"/>
    </row>
    <row r="812" spans="1:27" x14ac:dyDescent="0.2">
      <c r="A812" s="39"/>
      <c r="B812" s="39"/>
      <c r="C812" s="43"/>
      <c r="D812" s="43"/>
      <c r="E812" s="43"/>
      <c r="F812" s="132"/>
      <c r="G812" s="41" t="e">
        <f>VLOOKUP(F812,Pcode!A:B,2,FALSE)</f>
        <v>#N/A</v>
      </c>
      <c r="H812" s="41"/>
      <c r="I812" s="41" t="e">
        <f>VLOOKUP(H812,Pcode!C:D,2,FALSE)</f>
        <v>#N/A</v>
      </c>
      <c r="J812" s="41"/>
      <c r="K812" s="160"/>
      <c r="L812" s="160"/>
      <c r="M812" s="46"/>
      <c r="N812" s="136"/>
      <c r="O812" s="136"/>
      <c r="P812" s="136"/>
      <c r="Q812" s="136"/>
      <c r="R812" s="136"/>
      <c r="S812" s="136"/>
      <c r="T812" s="136"/>
      <c r="U812" s="136"/>
      <c r="V812" s="136"/>
      <c r="W812" s="136"/>
      <c r="X812" s="136"/>
      <c r="Y812" s="136"/>
      <c r="Z812" s="136"/>
      <c r="AA812" s="231"/>
    </row>
    <row r="813" spans="1:27" x14ac:dyDescent="0.2">
      <c r="A813" s="39"/>
      <c r="B813" s="39"/>
      <c r="C813" s="43"/>
      <c r="D813" s="43"/>
      <c r="E813" s="43"/>
      <c r="F813" s="132"/>
      <c r="G813" s="41" t="e">
        <f>VLOOKUP(F813,Pcode!A:B,2,FALSE)</f>
        <v>#N/A</v>
      </c>
      <c r="H813" s="41"/>
      <c r="I813" s="41" t="e">
        <f>VLOOKUP(H813,Pcode!C:D,2,FALSE)</f>
        <v>#N/A</v>
      </c>
      <c r="J813" s="41"/>
      <c r="K813" s="160"/>
      <c r="L813" s="160"/>
      <c r="M813" s="46"/>
      <c r="N813" s="136"/>
      <c r="O813" s="136"/>
      <c r="P813" s="136"/>
      <c r="Q813" s="136"/>
      <c r="R813" s="136"/>
      <c r="S813" s="136"/>
      <c r="T813" s="136"/>
      <c r="U813" s="136"/>
      <c r="V813" s="136"/>
      <c r="W813" s="136"/>
      <c r="X813" s="136"/>
      <c r="Y813" s="136"/>
      <c r="Z813" s="136"/>
      <c r="AA813" s="231"/>
    </row>
    <row r="814" spans="1:27" x14ac:dyDescent="0.2">
      <c r="A814" s="39"/>
      <c r="B814" s="39"/>
      <c r="C814" s="43"/>
      <c r="D814" s="43"/>
      <c r="E814" s="43"/>
      <c r="F814" s="132"/>
      <c r="G814" s="41" t="e">
        <f>VLOOKUP(F814,Pcode!A:B,2,FALSE)</f>
        <v>#N/A</v>
      </c>
      <c r="H814" s="41"/>
      <c r="I814" s="41" t="e">
        <f>VLOOKUP(H814,Pcode!C:D,2,FALSE)</f>
        <v>#N/A</v>
      </c>
      <c r="J814" s="41"/>
      <c r="K814" s="160"/>
      <c r="L814" s="160"/>
      <c r="M814" s="46"/>
      <c r="N814" s="136"/>
      <c r="O814" s="136"/>
      <c r="P814" s="136"/>
      <c r="Q814" s="136"/>
      <c r="R814" s="136"/>
      <c r="S814" s="136"/>
      <c r="T814" s="136"/>
      <c r="U814" s="136"/>
      <c r="V814" s="136"/>
      <c r="W814" s="136"/>
      <c r="X814" s="136"/>
      <c r="Y814" s="136"/>
      <c r="Z814" s="136"/>
      <c r="AA814" s="231"/>
    </row>
    <row r="815" spans="1:27" x14ac:dyDescent="0.2">
      <c r="A815" s="39"/>
      <c r="B815" s="39"/>
      <c r="C815" s="43"/>
      <c r="D815" s="43"/>
      <c r="E815" s="43"/>
      <c r="F815" s="132"/>
      <c r="G815" s="41" t="e">
        <f>VLOOKUP(F815,Pcode!A:B,2,FALSE)</f>
        <v>#N/A</v>
      </c>
      <c r="H815" s="41"/>
      <c r="I815" s="41" t="e">
        <f>VLOOKUP(H815,Pcode!C:D,2,FALSE)</f>
        <v>#N/A</v>
      </c>
      <c r="J815" s="41"/>
      <c r="K815" s="160"/>
      <c r="L815" s="160"/>
      <c r="M815" s="46"/>
      <c r="N815" s="136"/>
      <c r="O815" s="136"/>
      <c r="P815" s="136"/>
      <c r="Q815" s="136"/>
      <c r="R815" s="136"/>
      <c r="S815" s="136"/>
      <c r="T815" s="136"/>
      <c r="U815" s="136"/>
      <c r="V815" s="136"/>
      <c r="W815" s="136"/>
      <c r="X815" s="136"/>
      <c r="Y815" s="136"/>
      <c r="Z815" s="136"/>
      <c r="AA815" s="231"/>
    </row>
    <row r="816" spans="1:27" x14ac:dyDescent="0.2">
      <c r="A816" s="39"/>
      <c r="B816" s="39"/>
      <c r="C816" s="43"/>
      <c r="D816" s="43"/>
      <c r="E816" s="43"/>
      <c r="F816" s="132"/>
      <c r="G816" s="41" t="e">
        <f>VLOOKUP(F816,Pcode!A:B,2,FALSE)</f>
        <v>#N/A</v>
      </c>
      <c r="H816" s="41"/>
      <c r="I816" s="41" t="e">
        <f>VLOOKUP(H816,Pcode!C:D,2,FALSE)</f>
        <v>#N/A</v>
      </c>
      <c r="J816" s="41"/>
      <c r="K816" s="160"/>
      <c r="L816" s="160"/>
      <c r="M816" s="46"/>
      <c r="N816" s="136"/>
      <c r="O816" s="136"/>
      <c r="P816" s="136"/>
      <c r="Q816" s="136"/>
      <c r="R816" s="136"/>
      <c r="S816" s="136"/>
      <c r="T816" s="136"/>
      <c r="U816" s="136"/>
      <c r="V816" s="136"/>
      <c r="W816" s="136"/>
      <c r="X816" s="136"/>
      <c r="Y816" s="136"/>
      <c r="Z816" s="136"/>
      <c r="AA816" s="231"/>
    </row>
    <row r="817" spans="1:27" x14ac:dyDescent="0.2">
      <c r="A817" s="39"/>
      <c r="B817" s="39"/>
      <c r="C817" s="43"/>
      <c r="D817" s="43"/>
      <c r="E817" s="43"/>
      <c r="F817" s="132"/>
      <c r="G817" s="41" t="e">
        <f>VLOOKUP(F817,Pcode!A:B,2,FALSE)</f>
        <v>#N/A</v>
      </c>
      <c r="H817" s="41"/>
      <c r="I817" s="41" t="e">
        <f>VLOOKUP(H817,Pcode!C:D,2,FALSE)</f>
        <v>#N/A</v>
      </c>
      <c r="J817" s="41"/>
      <c r="K817" s="160"/>
      <c r="L817" s="160"/>
      <c r="M817" s="46"/>
      <c r="N817" s="136"/>
      <c r="O817" s="136"/>
      <c r="P817" s="136"/>
      <c r="Q817" s="136"/>
      <c r="R817" s="136"/>
      <c r="S817" s="136"/>
      <c r="T817" s="136"/>
      <c r="U817" s="136"/>
      <c r="V817" s="136"/>
      <c r="W817" s="136"/>
      <c r="X817" s="136"/>
      <c r="Y817" s="136"/>
      <c r="Z817" s="136"/>
      <c r="AA817" s="231"/>
    </row>
    <row r="818" spans="1:27" x14ac:dyDescent="0.2">
      <c r="A818" s="39"/>
      <c r="B818" s="39"/>
      <c r="C818" s="43"/>
      <c r="D818" s="43"/>
      <c r="E818" s="43"/>
      <c r="F818" s="132"/>
      <c r="G818" s="41" t="e">
        <f>VLOOKUP(F818,Pcode!A:B,2,FALSE)</f>
        <v>#N/A</v>
      </c>
      <c r="H818" s="41"/>
      <c r="I818" s="41" t="e">
        <f>VLOOKUP(H818,Pcode!C:D,2,FALSE)</f>
        <v>#N/A</v>
      </c>
      <c r="J818" s="41"/>
      <c r="K818" s="160"/>
      <c r="L818" s="160"/>
      <c r="M818" s="46"/>
      <c r="N818" s="136"/>
      <c r="O818" s="136"/>
      <c r="P818" s="136"/>
      <c r="Q818" s="136"/>
      <c r="R818" s="136"/>
      <c r="S818" s="136"/>
      <c r="T818" s="136"/>
      <c r="U818" s="136"/>
      <c r="V818" s="136"/>
      <c r="W818" s="136"/>
      <c r="X818" s="136"/>
      <c r="Y818" s="136"/>
      <c r="Z818" s="136"/>
      <c r="AA818" s="231"/>
    </row>
    <row r="819" spans="1:27" x14ac:dyDescent="0.2">
      <c r="A819" s="39"/>
      <c r="B819" s="39"/>
      <c r="C819" s="43"/>
      <c r="D819" s="43"/>
      <c r="E819" s="43"/>
      <c r="F819" s="132"/>
      <c r="G819" s="41" t="e">
        <f>VLOOKUP(F819,Pcode!A:B,2,FALSE)</f>
        <v>#N/A</v>
      </c>
      <c r="H819" s="41"/>
      <c r="I819" s="41" t="e">
        <f>VLOOKUP(H819,Pcode!C:D,2,FALSE)</f>
        <v>#N/A</v>
      </c>
      <c r="J819" s="41"/>
      <c r="K819" s="160"/>
      <c r="L819" s="160"/>
      <c r="M819" s="46"/>
      <c r="N819" s="136"/>
      <c r="O819" s="136"/>
      <c r="P819" s="136"/>
      <c r="Q819" s="136"/>
      <c r="R819" s="136"/>
      <c r="S819" s="136"/>
      <c r="T819" s="136"/>
      <c r="U819" s="136"/>
      <c r="V819" s="136"/>
      <c r="W819" s="136"/>
      <c r="X819" s="136"/>
      <c r="Y819" s="136"/>
      <c r="Z819" s="136"/>
      <c r="AA819" s="231"/>
    </row>
    <row r="820" spans="1:27" x14ac:dyDescent="0.2">
      <c r="A820" s="39"/>
      <c r="B820" s="39"/>
      <c r="C820" s="43"/>
      <c r="D820" s="43"/>
      <c r="E820" s="43"/>
      <c r="F820" s="132"/>
      <c r="G820" s="41" t="e">
        <f>VLOOKUP(F820,Pcode!A:B,2,FALSE)</f>
        <v>#N/A</v>
      </c>
      <c r="H820" s="41"/>
      <c r="I820" s="41" t="e">
        <f>VLOOKUP(H820,Pcode!C:D,2,FALSE)</f>
        <v>#N/A</v>
      </c>
      <c r="J820" s="41"/>
      <c r="K820" s="160"/>
      <c r="L820" s="160"/>
      <c r="M820" s="46"/>
      <c r="N820" s="136"/>
      <c r="O820" s="136"/>
      <c r="P820" s="136"/>
      <c r="Q820" s="136"/>
      <c r="R820" s="136"/>
      <c r="S820" s="136"/>
      <c r="T820" s="136"/>
      <c r="U820" s="136"/>
      <c r="V820" s="136"/>
      <c r="W820" s="136"/>
      <c r="X820" s="136"/>
      <c r="Y820" s="136"/>
      <c r="Z820" s="136"/>
      <c r="AA820" s="231"/>
    </row>
    <row r="821" spans="1:27" x14ac:dyDescent="0.2">
      <c r="A821" s="39"/>
      <c r="B821" s="39"/>
      <c r="C821" s="43"/>
      <c r="D821" s="43"/>
      <c r="E821" s="43"/>
      <c r="F821" s="132"/>
      <c r="G821" s="41" t="e">
        <f>VLOOKUP(F821,Pcode!A:B,2,FALSE)</f>
        <v>#N/A</v>
      </c>
      <c r="H821" s="41"/>
      <c r="I821" s="41" t="e">
        <f>VLOOKUP(H821,Pcode!C:D,2,FALSE)</f>
        <v>#N/A</v>
      </c>
      <c r="J821" s="41"/>
      <c r="K821" s="160"/>
      <c r="L821" s="160"/>
      <c r="M821" s="46"/>
      <c r="N821" s="136"/>
      <c r="O821" s="136"/>
      <c r="P821" s="136"/>
      <c r="Q821" s="136"/>
      <c r="R821" s="136"/>
      <c r="S821" s="136"/>
      <c r="T821" s="136"/>
      <c r="U821" s="136"/>
      <c r="V821" s="136"/>
      <c r="W821" s="136"/>
      <c r="X821" s="136"/>
      <c r="Y821" s="136"/>
      <c r="Z821" s="136"/>
      <c r="AA821" s="231"/>
    </row>
    <row r="822" spans="1:27" x14ac:dyDescent="0.2">
      <c r="A822" s="39"/>
      <c r="B822" s="39"/>
      <c r="C822" s="43"/>
      <c r="D822" s="43"/>
      <c r="E822" s="43"/>
      <c r="F822" s="132"/>
      <c r="G822" s="41" t="e">
        <f>VLOOKUP(F822,Pcode!A:B,2,FALSE)</f>
        <v>#N/A</v>
      </c>
      <c r="H822" s="41"/>
      <c r="I822" s="41" t="e">
        <f>VLOOKUP(H822,Pcode!C:D,2,FALSE)</f>
        <v>#N/A</v>
      </c>
      <c r="J822" s="41"/>
      <c r="K822" s="160"/>
      <c r="L822" s="160"/>
      <c r="M822" s="46"/>
      <c r="N822" s="136"/>
      <c r="O822" s="136"/>
      <c r="P822" s="136"/>
      <c r="Q822" s="136"/>
      <c r="R822" s="136"/>
      <c r="S822" s="136"/>
      <c r="T822" s="136"/>
      <c r="U822" s="136"/>
      <c r="V822" s="136"/>
      <c r="W822" s="136"/>
      <c r="X822" s="136"/>
      <c r="Y822" s="136"/>
      <c r="Z822" s="136"/>
      <c r="AA822" s="231"/>
    </row>
    <row r="823" spans="1:27" x14ac:dyDescent="0.2">
      <c r="A823" s="39"/>
      <c r="B823" s="39"/>
      <c r="C823" s="43"/>
      <c r="D823" s="43"/>
      <c r="E823" s="43"/>
      <c r="F823" s="132"/>
      <c r="G823" s="41" t="e">
        <f>VLOOKUP(F823,Pcode!A:B,2,FALSE)</f>
        <v>#N/A</v>
      </c>
      <c r="H823" s="41"/>
      <c r="I823" s="41" t="e">
        <f>VLOOKUP(H823,Pcode!C:D,2,FALSE)</f>
        <v>#N/A</v>
      </c>
      <c r="J823" s="41"/>
      <c r="K823" s="160"/>
      <c r="L823" s="160"/>
      <c r="M823" s="46"/>
      <c r="N823" s="136"/>
      <c r="O823" s="136"/>
      <c r="P823" s="136"/>
      <c r="Q823" s="136"/>
      <c r="R823" s="136"/>
      <c r="S823" s="136"/>
      <c r="T823" s="136"/>
      <c r="U823" s="136"/>
      <c r="V823" s="136"/>
      <c r="W823" s="136"/>
      <c r="X823" s="136"/>
      <c r="Y823" s="136"/>
      <c r="Z823" s="136"/>
      <c r="AA823" s="231"/>
    </row>
    <row r="824" spans="1:27" x14ac:dyDescent="0.2">
      <c r="A824" s="39"/>
      <c r="B824" s="39"/>
      <c r="C824" s="43"/>
      <c r="D824" s="43"/>
      <c r="E824" s="43"/>
      <c r="F824" s="132"/>
      <c r="G824" s="41" t="e">
        <f>VLOOKUP(F824,Pcode!A:B,2,FALSE)</f>
        <v>#N/A</v>
      </c>
      <c r="H824" s="41"/>
      <c r="I824" s="41" t="e">
        <f>VLOOKUP(H824,Pcode!C:D,2,FALSE)</f>
        <v>#N/A</v>
      </c>
      <c r="J824" s="41"/>
      <c r="K824" s="160"/>
      <c r="L824" s="160"/>
      <c r="M824" s="46"/>
      <c r="N824" s="136"/>
      <c r="O824" s="136"/>
      <c r="P824" s="136"/>
      <c r="Q824" s="136"/>
      <c r="R824" s="136"/>
      <c r="S824" s="136"/>
      <c r="T824" s="136"/>
      <c r="U824" s="136"/>
      <c r="V824" s="136"/>
      <c r="W824" s="136"/>
      <c r="X824" s="136"/>
      <c r="Y824" s="136"/>
      <c r="Z824" s="136"/>
      <c r="AA824" s="231"/>
    </row>
    <row r="825" spans="1:27" x14ac:dyDescent="0.2">
      <c r="A825" s="39"/>
      <c r="B825" s="39"/>
      <c r="C825" s="43"/>
      <c r="D825" s="43"/>
      <c r="E825" s="43"/>
      <c r="F825" s="132"/>
      <c r="G825" s="41" t="e">
        <f>VLOOKUP(F825,Pcode!A:B,2,FALSE)</f>
        <v>#N/A</v>
      </c>
      <c r="H825" s="41"/>
      <c r="I825" s="41" t="e">
        <f>VLOOKUP(H825,Pcode!C:D,2,FALSE)</f>
        <v>#N/A</v>
      </c>
      <c r="J825" s="41"/>
      <c r="K825" s="160"/>
      <c r="L825" s="160"/>
      <c r="M825" s="46"/>
      <c r="N825" s="136"/>
      <c r="O825" s="136"/>
      <c r="P825" s="136"/>
      <c r="Q825" s="136"/>
      <c r="R825" s="136"/>
      <c r="S825" s="136"/>
      <c r="T825" s="136"/>
      <c r="U825" s="136"/>
      <c r="V825" s="136"/>
      <c r="W825" s="136"/>
      <c r="X825" s="136"/>
      <c r="Y825" s="136"/>
      <c r="Z825" s="136"/>
      <c r="AA825" s="231"/>
    </row>
    <row r="826" spans="1:27" x14ac:dyDescent="0.2">
      <c r="A826" s="39"/>
      <c r="B826" s="39"/>
      <c r="C826" s="43"/>
      <c r="D826" s="43"/>
      <c r="E826" s="43"/>
      <c r="F826" s="132"/>
      <c r="G826" s="41" t="e">
        <f>VLOOKUP(F826,Pcode!A:B,2,FALSE)</f>
        <v>#N/A</v>
      </c>
      <c r="H826" s="41"/>
      <c r="I826" s="41" t="e">
        <f>VLOOKUP(H826,Pcode!C:D,2,FALSE)</f>
        <v>#N/A</v>
      </c>
      <c r="J826" s="41"/>
      <c r="K826" s="160"/>
      <c r="L826" s="160"/>
      <c r="M826" s="46"/>
      <c r="N826" s="136"/>
      <c r="O826" s="136"/>
      <c r="P826" s="136"/>
      <c r="Q826" s="136"/>
      <c r="R826" s="136"/>
      <c r="S826" s="136"/>
      <c r="T826" s="136"/>
      <c r="U826" s="136"/>
      <c r="V826" s="136"/>
      <c r="W826" s="136"/>
      <c r="X826" s="136"/>
      <c r="Y826" s="136"/>
      <c r="Z826" s="136"/>
      <c r="AA826" s="231"/>
    </row>
    <row r="827" spans="1:27" x14ac:dyDescent="0.2">
      <c r="A827" s="39"/>
      <c r="B827" s="39"/>
      <c r="C827" s="43"/>
      <c r="D827" s="43"/>
      <c r="E827" s="43"/>
      <c r="F827" s="132"/>
      <c r="G827" s="41" t="e">
        <f>VLOOKUP(F827,Pcode!A:B,2,FALSE)</f>
        <v>#N/A</v>
      </c>
      <c r="H827" s="41"/>
      <c r="I827" s="41" t="e">
        <f>VLOOKUP(H827,Pcode!C:D,2,FALSE)</f>
        <v>#N/A</v>
      </c>
      <c r="J827" s="41"/>
      <c r="K827" s="160"/>
      <c r="L827" s="160"/>
      <c r="M827" s="46"/>
      <c r="N827" s="136"/>
      <c r="O827" s="136"/>
      <c r="P827" s="136"/>
      <c r="Q827" s="136"/>
      <c r="R827" s="136"/>
      <c r="S827" s="136"/>
      <c r="T827" s="136"/>
      <c r="U827" s="136"/>
      <c r="V827" s="136"/>
      <c r="W827" s="136"/>
      <c r="X827" s="136"/>
      <c r="Y827" s="136"/>
      <c r="Z827" s="136"/>
      <c r="AA827" s="231"/>
    </row>
    <row r="828" spans="1:27" x14ac:dyDescent="0.2">
      <c r="A828" s="39"/>
      <c r="B828" s="39"/>
      <c r="C828" s="43"/>
      <c r="D828" s="43"/>
      <c r="E828" s="43"/>
      <c r="F828" s="132"/>
      <c r="G828" s="41" t="e">
        <f>VLOOKUP(F828,Pcode!A:B,2,FALSE)</f>
        <v>#N/A</v>
      </c>
      <c r="H828" s="41"/>
      <c r="I828" s="41" t="e">
        <f>VLOOKUP(H828,Pcode!C:D,2,FALSE)</f>
        <v>#N/A</v>
      </c>
      <c r="J828" s="41"/>
      <c r="K828" s="160"/>
      <c r="L828" s="160"/>
      <c r="M828" s="46"/>
      <c r="N828" s="136"/>
      <c r="O828" s="136"/>
      <c r="P828" s="136"/>
      <c r="Q828" s="136"/>
      <c r="R828" s="136"/>
      <c r="S828" s="136"/>
      <c r="T828" s="136"/>
      <c r="U828" s="136"/>
      <c r="V828" s="136"/>
      <c r="W828" s="136"/>
      <c r="X828" s="136"/>
      <c r="Y828" s="136"/>
      <c r="Z828" s="136"/>
      <c r="AA828" s="231"/>
    </row>
    <row r="829" spans="1:27" x14ac:dyDescent="0.2">
      <c r="A829" s="39"/>
      <c r="B829" s="39"/>
      <c r="C829" s="43"/>
      <c r="D829" s="43"/>
      <c r="E829" s="43"/>
      <c r="F829" s="132"/>
      <c r="G829" s="41" t="e">
        <f>VLOOKUP(F829,Pcode!A:B,2,FALSE)</f>
        <v>#N/A</v>
      </c>
      <c r="H829" s="41"/>
      <c r="I829" s="41" t="e">
        <f>VLOOKUP(H829,Pcode!C:D,2,FALSE)</f>
        <v>#N/A</v>
      </c>
      <c r="J829" s="41"/>
      <c r="K829" s="160"/>
      <c r="L829" s="160"/>
      <c r="M829" s="46"/>
      <c r="N829" s="136"/>
      <c r="O829" s="136"/>
      <c r="P829" s="136"/>
      <c r="Q829" s="136"/>
      <c r="R829" s="136"/>
      <c r="S829" s="136"/>
      <c r="T829" s="136"/>
      <c r="U829" s="136"/>
      <c r="V829" s="136"/>
      <c r="W829" s="136"/>
      <c r="X829" s="136"/>
      <c r="Y829" s="136"/>
      <c r="Z829" s="136"/>
      <c r="AA829" s="231"/>
    </row>
    <row r="830" spans="1:27" x14ac:dyDescent="0.2">
      <c r="A830" s="39"/>
      <c r="B830" s="39"/>
      <c r="C830" s="43"/>
      <c r="D830" s="43"/>
      <c r="E830" s="43"/>
      <c r="F830" s="132"/>
      <c r="G830" s="41" t="e">
        <f>VLOOKUP(F830,Pcode!A:B,2,FALSE)</f>
        <v>#N/A</v>
      </c>
      <c r="H830" s="41"/>
      <c r="I830" s="41" t="e">
        <f>VLOOKUP(H830,Pcode!C:D,2,FALSE)</f>
        <v>#N/A</v>
      </c>
      <c r="J830" s="41"/>
      <c r="K830" s="160"/>
      <c r="L830" s="160"/>
      <c r="M830" s="46"/>
      <c r="N830" s="136"/>
      <c r="O830" s="136"/>
      <c r="P830" s="136"/>
      <c r="Q830" s="136"/>
      <c r="R830" s="136"/>
      <c r="S830" s="136"/>
      <c r="T830" s="136"/>
      <c r="U830" s="136"/>
      <c r="V830" s="136"/>
      <c r="W830" s="136"/>
      <c r="X830" s="136"/>
      <c r="Y830" s="136"/>
      <c r="Z830" s="136"/>
      <c r="AA830" s="231"/>
    </row>
    <row r="831" spans="1:27" x14ac:dyDescent="0.2">
      <c r="A831" s="39"/>
      <c r="B831" s="39"/>
      <c r="C831" s="43"/>
      <c r="D831" s="43"/>
      <c r="E831" s="43"/>
      <c r="F831" s="132"/>
      <c r="G831" s="41" t="e">
        <f>VLOOKUP(F831,Pcode!A:B,2,FALSE)</f>
        <v>#N/A</v>
      </c>
      <c r="H831" s="41"/>
      <c r="I831" s="41" t="e">
        <f>VLOOKUP(H831,Pcode!C:D,2,FALSE)</f>
        <v>#N/A</v>
      </c>
      <c r="J831" s="41"/>
      <c r="K831" s="160"/>
      <c r="L831" s="160"/>
      <c r="M831" s="46"/>
      <c r="N831" s="136"/>
      <c r="O831" s="136"/>
      <c r="P831" s="136"/>
      <c r="Q831" s="136"/>
      <c r="R831" s="136"/>
      <c r="S831" s="136"/>
      <c r="T831" s="136"/>
      <c r="U831" s="136"/>
      <c r="V831" s="136"/>
      <c r="W831" s="136"/>
      <c r="X831" s="136"/>
      <c r="Y831" s="136"/>
      <c r="Z831" s="136"/>
      <c r="AA831" s="231"/>
    </row>
    <row r="832" spans="1:27" x14ac:dyDescent="0.2">
      <c r="A832" s="39"/>
      <c r="B832" s="39"/>
      <c r="C832" s="43"/>
      <c r="D832" s="43"/>
      <c r="E832" s="43"/>
      <c r="F832" s="132"/>
      <c r="G832" s="41" t="e">
        <f>VLOOKUP(F832,Pcode!A:B,2,FALSE)</f>
        <v>#N/A</v>
      </c>
      <c r="H832" s="41"/>
      <c r="I832" s="41" t="e">
        <f>VLOOKUP(H832,Pcode!C:D,2,FALSE)</f>
        <v>#N/A</v>
      </c>
      <c r="J832" s="41"/>
      <c r="K832" s="160"/>
      <c r="L832" s="160"/>
      <c r="M832" s="46"/>
      <c r="N832" s="136"/>
      <c r="O832" s="136"/>
      <c r="P832" s="136"/>
      <c r="Q832" s="136"/>
      <c r="R832" s="136"/>
      <c r="S832" s="136"/>
      <c r="T832" s="136"/>
      <c r="U832" s="136"/>
      <c r="V832" s="136"/>
      <c r="W832" s="136"/>
      <c r="X832" s="136"/>
      <c r="Y832" s="136"/>
      <c r="Z832" s="136"/>
      <c r="AA832" s="231"/>
    </row>
    <row r="833" spans="1:27" x14ac:dyDescent="0.2">
      <c r="A833" s="39"/>
      <c r="B833" s="39"/>
      <c r="C833" s="43"/>
      <c r="D833" s="43"/>
      <c r="E833" s="43"/>
      <c r="F833" s="132"/>
      <c r="G833" s="41" t="e">
        <f>VLOOKUP(F833,Pcode!A:B,2,FALSE)</f>
        <v>#N/A</v>
      </c>
      <c r="H833" s="41"/>
      <c r="I833" s="41" t="e">
        <f>VLOOKUP(H833,Pcode!C:D,2,FALSE)</f>
        <v>#N/A</v>
      </c>
      <c r="J833" s="41"/>
      <c r="K833" s="160"/>
      <c r="L833" s="160"/>
      <c r="M833" s="46"/>
      <c r="N833" s="136"/>
      <c r="O833" s="136"/>
      <c r="P833" s="136"/>
      <c r="Q833" s="136"/>
      <c r="R833" s="136"/>
      <c r="S833" s="136"/>
      <c r="T833" s="136"/>
      <c r="U833" s="136"/>
      <c r="V833" s="136"/>
      <c r="W833" s="136"/>
      <c r="X833" s="136"/>
      <c r="Y833" s="136"/>
      <c r="Z833" s="136"/>
      <c r="AA833" s="231"/>
    </row>
    <row r="834" spans="1:27" x14ac:dyDescent="0.2">
      <c r="A834" s="39"/>
      <c r="B834" s="39"/>
      <c r="C834" s="43"/>
      <c r="D834" s="43"/>
      <c r="E834" s="43"/>
      <c r="F834" s="132"/>
      <c r="G834" s="41" t="e">
        <f>VLOOKUP(F834,Pcode!A:B,2,FALSE)</f>
        <v>#N/A</v>
      </c>
      <c r="H834" s="41"/>
      <c r="I834" s="41" t="e">
        <f>VLOOKUP(H834,Pcode!C:D,2,FALSE)</f>
        <v>#N/A</v>
      </c>
      <c r="J834" s="41"/>
      <c r="K834" s="160"/>
      <c r="L834" s="160"/>
      <c r="M834" s="46"/>
      <c r="N834" s="136"/>
      <c r="O834" s="136"/>
      <c r="P834" s="136"/>
      <c r="Q834" s="136"/>
      <c r="R834" s="136"/>
      <c r="S834" s="136"/>
      <c r="T834" s="136"/>
      <c r="U834" s="136"/>
      <c r="V834" s="136"/>
      <c r="W834" s="136"/>
      <c r="X834" s="136"/>
      <c r="Y834" s="136"/>
      <c r="Z834" s="136"/>
      <c r="AA834" s="231"/>
    </row>
    <row r="835" spans="1:27" x14ac:dyDescent="0.2">
      <c r="A835" s="39"/>
      <c r="B835" s="39"/>
      <c r="C835" s="43"/>
      <c r="D835" s="43"/>
      <c r="E835" s="43"/>
      <c r="F835" s="132"/>
      <c r="G835" s="41" t="e">
        <f>VLOOKUP(F835,Pcode!A:B,2,FALSE)</f>
        <v>#N/A</v>
      </c>
      <c r="H835" s="41"/>
      <c r="I835" s="41" t="e">
        <f>VLOOKUP(H835,Pcode!C:D,2,FALSE)</f>
        <v>#N/A</v>
      </c>
      <c r="J835" s="41"/>
      <c r="K835" s="160"/>
      <c r="L835" s="160"/>
      <c r="M835" s="46"/>
      <c r="N835" s="136"/>
      <c r="O835" s="136"/>
      <c r="P835" s="136"/>
      <c r="Q835" s="136"/>
      <c r="R835" s="136"/>
      <c r="S835" s="136"/>
      <c r="T835" s="136"/>
      <c r="U835" s="136"/>
      <c r="V835" s="136"/>
      <c r="W835" s="136"/>
      <c r="X835" s="136"/>
      <c r="Y835" s="136"/>
      <c r="Z835" s="136"/>
      <c r="AA835" s="231"/>
    </row>
    <row r="836" spans="1:27" x14ac:dyDescent="0.2">
      <c r="A836" s="39"/>
      <c r="B836" s="39"/>
      <c r="C836" s="43"/>
      <c r="D836" s="43"/>
      <c r="E836" s="43"/>
      <c r="F836" s="132"/>
      <c r="G836" s="41" t="e">
        <f>VLOOKUP(F836,Pcode!A:B,2,FALSE)</f>
        <v>#N/A</v>
      </c>
      <c r="H836" s="41"/>
      <c r="I836" s="41" t="e">
        <f>VLOOKUP(H836,Pcode!C:D,2,FALSE)</f>
        <v>#N/A</v>
      </c>
      <c r="J836" s="41"/>
      <c r="K836" s="160"/>
      <c r="L836" s="160"/>
      <c r="M836" s="46"/>
      <c r="N836" s="136"/>
      <c r="O836" s="136"/>
      <c r="P836" s="136"/>
      <c r="Q836" s="136"/>
      <c r="R836" s="136"/>
      <c r="S836" s="136"/>
      <c r="T836" s="136"/>
      <c r="U836" s="136"/>
      <c r="V836" s="136"/>
      <c r="W836" s="136"/>
      <c r="X836" s="136"/>
      <c r="Y836" s="136"/>
      <c r="Z836" s="136"/>
      <c r="AA836" s="231"/>
    </row>
    <row r="837" spans="1:27" x14ac:dyDescent="0.2">
      <c r="A837" s="39"/>
      <c r="B837" s="39"/>
      <c r="C837" s="43"/>
      <c r="D837" s="43"/>
      <c r="E837" s="43"/>
      <c r="F837" s="132"/>
      <c r="G837" s="41" t="e">
        <f>VLOOKUP(F837,Pcode!A:B,2,FALSE)</f>
        <v>#N/A</v>
      </c>
      <c r="H837" s="41"/>
      <c r="I837" s="41" t="e">
        <f>VLOOKUP(H837,Pcode!C:D,2,FALSE)</f>
        <v>#N/A</v>
      </c>
      <c r="J837" s="41"/>
      <c r="K837" s="160"/>
      <c r="L837" s="160"/>
      <c r="M837" s="46"/>
      <c r="N837" s="136"/>
      <c r="O837" s="136"/>
      <c r="P837" s="136"/>
      <c r="Q837" s="136"/>
      <c r="R837" s="136"/>
      <c r="S837" s="136"/>
      <c r="T837" s="136"/>
      <c r="U837" s="136"/>
      <c r="V837" s="136"/>
      <c r="W837" s="136"/>
      <c r="X837" s="136"/>
      <c r="Y837" s="136"/>
      <c r="Z837" s="136"/>
      <c r="AA837" s="231"/>
    </row>
    <row r="838" spans="1:27" x14ac:dyDescent="0.2">
      <c r="A838" s="39"/>
      <c r="B838" s="39"/>
      <c r="C838" s="43"/>
      <c r="D838" s="43"/>
      <c r="E838" s="43"/>
      <c r="F838" s="132"/>
      <c r="G838" s="41" t="e">
        <f>VLOOKUP(F838,Pcode!A:B,2,FALSE)</f>
        <v>#N/A</v>
      </c>
      <c r="H838" s="41"/>
      <c r="I838" s="41" t="e">
        <f>VLOOKUP(H838,Pcode!C:D,2,FALSE)</f>
        <v>#N/A</v>
      </c>
      <c r="J838" s="41"/>
      <c r="K838" s="160"/>
      <c r="L838" s="160"/>
      <c r="M838" s="46"/>
      <c r="N838" s="136"/>
      <c r="O838" s="136"/>
      <c r="P838" s="136"/>
      <c r="Q838" s="136"/>
      <c r="R838" s="136"/>
      <c r="S838" s="136"/>
      <c r="T838" s="136"/>
      <c r="U838" s="136"/>
      <c r="V838" s="136"/>
      <c r="W838" s="136"/>
      <c r="X838" s="136"/>
      <c r="Y838" s="136"/>
      <c r="Z838" s="136"/>
      <c r="AA838" s="231"/>
    </row>
    <row r="839" spans="1:27" x14ac:dyDescent="0.2">
      <c r="A839" s="39"/>
      <c r="B839" s="39"/>
      <c r="C839" s="43"/>
      <c r="D839" s="43"/>
      <c r="E839" s="43"/>
      <c r="F839" s="132"/>
      <c r="G839" s="41" t="e">
        <f>VLOOKUP(F839,Pcode!A:B,2,FALSE)</f>
        <v>#N/A</v>
      </c>
      <c r="H839" s="41"/>
      <c r="I839" s="41" t="e">
        <f>VLOOKUP(H839,Pcode!C:D,2,FALSE)</f>
        <v>#N/A</v>
      </c>
      <c r="J839" s="41"/>
      <c r="K839" s="160"/>
      <c r="L839" s="160"/>
      <c r="M839" s="46"/>
      <c r="N839" s="136"/>
      <c r="O839" s="136"/>
      <c r="P839" s="136"/>
      <c r="Q839" s="136"/>
      <c r="R839" s="136"/>
      <c r="S839" s="136"/>
      <c r="T839" s="136"/>
      <c r="U839" s="136"/>
      <c r="V839" s="136"/>
      <c r="W839" s="136"/>
      <c r="X839" s="136"/>
      <c r="Y839" s="136"/>
      <c r="Z839" s="136"/>
      <c r="AA839" s="231"/>
    </row>
    <row r="840" spans="1:27" x14ac:dyDescent="0.2">
      <c r="A840" s="39"/>
      <c r="B840" s="39"/>
      <c r="C840" s="43"/>
      <c r="D840" s="43"/>
      <c r="E840" s="43"/>
      <c r="F840" s="132"/>
      <c r="G840" s="41" t="e">
        <f>VLOOKUP(F840,Pcode!A:B,2,FALSE)</f>
        <v>#N/A</v>
      </c>
      <c r="H840" s="41"/>
      <c r="I840" s="41" t="e">
        <f>VLOOKUP(H840,Pcode!C:D,2,FALSE)</f>
        <v>#N/A</v>
      </c>
      <c r="J840" s="41"/>
      <c r="K840" s="160"/>
      <c r="L840" s="160"/>
      <c r="M840" s="46"/>
      <c r="N840" s="136"/>
      <c r="O840" s="136"/>
      <c r="P840" s="136"/>
      <c r="Q840" s="136"/>
      <c r="R840" s="136"/>
      <c r="S840" s="136"/>
      <c r="T840" s="136"/>
      <c r="U840" s="136"/>
      <c r="V840" s="136"/>
      <c r="W840" s="136"/>
      <c r="X840" s="136"/>
      <c r="Y840" s="136"/>
      <c r="Z840" s="136"/>
      <c r="AA840" s="231"/>
    </row>
    <row r="841" spans="1:27" x14ac:dyDescent="0.2">
      <c r="A841" s="39"/>
      <c r="B841" s="39"/>
      <c r="C841" s="43"/>
      <c r="D841" s="43"/>
      <c r="E841" s="43"/>
      <c r="F841" s="132"/>
      <c r="G841" s="41" t="e">
        <f>VLOOKUP(F841,Pcode!A:B,2,FALSE)</f>
        <v>#N/A</v>
      </c>
      <c r="H841" s="41"/>
      <c r="I841" s="41" t="e">
        <f>VLOOKUP(H841,Pcode!C:D,2,FALSE)</f>
        <v>#N/A</v>
      </c>
      <c r="J841" s="41"/>
      <c r="K841" s="160"/>
      <c r="L841" s="160"/>
      <c r="M841" s="46"/>
      <c r="N841" s="136"/>
      <c r="O841" s="136"/>
      <c r="P841" s="136"/>
      <c r="Q841" s="136"/>
      <c r="R841" s="136"/>
      <c r="S841" s="136"/>
      <c r="T841" s="136"/>
      <c r="U841" s="136"/>
      <c r="V841" s="136"/>
      <c r="W841" s="136"/>
      <c r="X841" s="136"/>
      <c r="Y841" s="136"/>
      <c r="Z841" s="136"/>
      <c r="AA841" s="231"/>
    </row>
    <row r="842" spans="1:27" x14ac:dyDescent="0.2">
      <c r="A842" s="39"/>
      <c r="B842" s="39"/>
      <c r="C842" s="43"/>
      <c r="D842" s="43"/>
      <c r="E842" s="43"/>
      <c r="F842" s="132"/>
      <c r="G842" s="41" t="e">
        <f>VLOOKUP(F842,Pcode!A:B,2,FALSE)</f>
        <v>#N/A</v>
      </c>
      <c r="H842" s="41"/>
      <c r="I842" s="41" t="e">
        <f>VLOOKUP(H842,Pcode!C:D,2,FALSE)</f>
        <v>#N/A</v>
      </c>
      <c r="J842" s="41"/>
      <c r="K842" s="160"/>
      <c r="L842" s="160"/>
      <c r="M842" s="46"/>
      <c r="N842" s="136"/>
      <c r="O842" s="136"/>
      <c r="P842" s="136"/>
      <c r="Q842" s="136"/>
      <c r="R842" s="136"/>
      <c r="S842" s="136"/>
      <c r="T842" s="136"/>
      <c r="U842" s="136"/>
      <c r="V842" s="136"/>
      <c r="W842" s="136"/>
      <c r="X842" s="136"/>
      <c r="Y842" s="136"/>
      <c r="Z842" s="136"/>
      <c r="AA842" s="231"/>
    </row>
    <row r="843" spans="1:27" x14ac:dyDescent="0.2">
      <c r="A843" s="39"/>
      <c r="B843" s="39"/>
      <c r="C843" s="43"/>
      <c r="D843" s="43"/>
      <c r="E843" s="43"/>
      <c r="F843" s="132"/>
      <c r="G843" s="41" t="e">
        <f>VLOOKUP(F843,Pcode!A:B,2,FALSE)</f>
        <v>#N/A</v>
      </c>
      <c r="H843" s="41"/>
      <c r="I843" s="41" t="e">
        <f>VLOOKUP(H843,Pcode!C:D,2,FALSE)</f>
        <v>#N/A</v>
      </c>
      <c r="J843" s="41"/>
      <c r="K843" s="160"/>
      <c r="L843" s="160"/>
      <c r="M843" s="46"/>
      <c r="N843" s="136"/>
      <c r="O843" s="136"/>
      <c r="P843" s="136"/>
      <c r="Q843" s="136"/>
      <c r="R843" s="136"/>
      <c r="S843" s="136"/>
      <c r="T843" s="136"/>
      <c r="U843" s="136"/>
      <c r="V843" s="136"/>
      <c r="W843" s="136"/>
      <c r="X843" s="136"/>
      <c r="Y843" s="136"/>
      <c r="Z843" s="136"/>
      <c r="AA843" s="231"/>
    </row>
    <row r="844" spans="1:27" x14ac:dyDescent="0.2">
      <c r="A844" s="39"/>
      <c r="B844" s="39"/>
      <c r="C844" s="43"/>
      <c r="D844" s="43"/>
      <c r="E844" s="43"/>
      <c r="F844" s="132"/>
      <c r="G844" s="41" t="e">
        <f>VLOOKUP(F844,Pcode!A:B,2,FALSE)</f>
        <v>#N/A</v>
      </c>
      <c r="H844" s="41"/>
      <c r="I844" s="41" t="e">
        <f>VLOOKUP(H844,Pcode!C:D,2,FALSE)</f>
        <v>#N/A</v>
      </c>
      <c r="J844" s="41"/>
      <c r="K844" s="160"/>
      <c r="L844" s="160"/>
      <c r="M844" s="46"/>
      <c r="N844" s="136"/>
      <c r="O844" s="136"/>
      <c r="P844" s="136"/>
      <c r="Q844" s="136"/>
      <c r="R844" s="136"/>
      <c r="S844" s="136"/>
      <c r="T844" s="136"/>
      <c r="U844" s="136"/>
      <c r="V844" s="136"/>
      <c r="W844" s="136"/>
      <c r="X844" s="136"/>
      <c r="Y844" s="136"/>
      <c r="Z844" s="136"/>
      <c r="AA844" s="231"/>
    </row>
    <row r="845" spans="1:27" x14ac:dyDescent="0.2">
      <c r="A845" s="39"/>
      <c r="B845" s="39"/>
      <c r="C845" s="43"/>
      <c r="D845" s="43"/>
      <c r="E845" s="43"/>
      <c r="F845" s="132"/>
      <c r="G845" s="41" t="e">
        <f>VLOOKUP(F845,Pcode!A:B,2,FALSE)</f>
        <v>#N/A</v>
      </c>
      <c r="H845" s="41"/>
      <c r="I845" s="41" t="e">
        <f>VLOOKUP(H845,Pcode!C:D,2,FALSE)</f>
        <v>#N/A</v>
      </c>
      <c r="J845" s="41"/>
      <c r="K845" s="160"/>
      <c r="L845" s="160"/>
      <c r="M845" s="46"/>
      <c r="N845" s="136"/>
      <c r="O845" s="136"/>
      <c r="P845" s="136"/>
      <c r="Q845" s="136"/>
      <c r="R845" s="136"/>
      <c r="S845" s="136"/>
      <c r="T845" s="136"/>
      <c r="U845" s="136"/>
      <c r="V845" s="136"/>
      <c r="W845" s="136"/>
      <c r="X845" s="136"/>
      <c r="Y845" s="136"/>
      <c r="Z845" s="136"/>
      <c r="AA845" s="231"/>
    </row>
    <row r="846" spans="1:27" x14ac:dyDescent="0.2">
      <c r="A846" s="39"/>
      <c r="B846" s="39"/>
      <c r="C846" s="43"/>
      <c r="D846" s="43"/>
      <c r="E846" s="43"/>
      <c r="F846" s="132"/>
      <c r="G846" s="41" t="e">
        <f>VLOOKUP(F846,Pcode!A:B,2,FALSE)</f>
        <v>#N/A</v>
      </c>
      <c r="H846" s="41"/>
      <c r="I846" s="41" t="e">
        <f>VLOOKUP(H846,Pcode!C:D,2,FALSE)</f>
        <v>#N/A</v>
      </c>
      <c r="J846" s="41"/>
      <c r="K846" s="160"/>
      <c r="L846" s="160"/>
      <c r="M846" s="46"/>
      <c r="N846" s="136"/>
      <c r="O846" s="136"/>
      <c r="P846" s="136"/>
      <c r="Q846" s="136"/>
      <c r="R846" s="136"/>
      <c r="S846" s="136"/>
      <c r="T846" s="136"/>
      <c r="U846" s="136"/>
      <c r="V846" s="136"/>
      <c r="W846" s="136"/>
      <c r="X846" s="136"/>
      <c r="Y846" s="136"/>
      <c r="Z846" s="136"/>
      <c r="AA846" s="231"/>
    </row>
    <row r="847" spans="1:27" x14ac:dyDescent="0.2">
      <c r="A847" s="39"/>
      <c r="B847" s="39"/>
      <c r="C847" s="43"/>
      <c r="D847" s="43"/>
      <c r="E847" s="43"/>
      <c r="F847" s="132"/>
      <c r="G847" s="41" t="e">
        <f>VLOOKUP(F847,Pcode!A:B,2,FALSE)</f>
        <v>#N/A</v>
      </c>
      <c r="H847" s="41"/>
      <c r="I847" s="41" t="e">
        <f>VLOOKUP(H847,Pcode!C:D,2,FALSE)</f>
        <v>#N/A</v>
      </c>
      <c r="J847" s="41"/>
      <c r="K847" s="160"/>
      <c r="L847" s="160"/>
      <c r="M847" s="46"/>
      <c r="N847" s="136"/>
      <c r="O847" s="136"/>
      <c r="P847" s="136"/>
      <c r="Q847" s="136"/>
      <c r="R847" s="136"/>
      <c r="S847" s="136"/>
      <c r="T847" s="136"/>
      <c r="U847" s="136"/>
      <c r="V847" s="136"/>
      <c r="W847" s="136"/>
      <c r="X847" s="136"/>
      <c r="Y847" s="136"/>
      <c r="Z847" s="136"/>
      <c r="AA847" s="231"/>
    </row>
    <row r="848" spans="1:27" x14ac:dyDescent="0.2">
      <c r="A848" s="39"/>
      <c r="B848" s="39"/>
      <c r="C848" s="43"/>
      <c r="D848" s="43"/>
      <c r="E848" s="43"/>
      <c r="F848" s="132"/>
      <c r="G848" s="41" t="e">
        <f>VLOOKUP(F848,Pcode!A:B,2,FALSE)</f>
        <v>#N/A</v>
      </c>
      <c r="H848" s="41"/>
      <c r="I848" s="41" t="e">
        <f>VLOOKUP(H848,Pcode!C:D,2,FALSE)</f>
        <v>#N/A</v>
      </c>
      <c r="J848" s="41"/>
      <c r="K848" s="160"/>
      <c r="L848" s="160"/>
      <c r="M848" s="46"/>
      <c r="N848" s="136"/>
      <c r="O848" s="136"/>
      <c r="P848" s="136"/>
      <c r="Q848" s="136"/>
      <c r="R848" s="136"/>
      <c r="S848" s="136"/>
      <c r="T848" s="136"/>
      <c r="U848" s="136"/>
      <c r="V848" s="136"/>
      <c r="W848" s="136"/>
      <c r="X848" s="136"/>
      <c r="Y848" s="136"/>
      <c r="Z848" s="136"/>
      <c r="AA848" s="231"/>
    </row>
    <row r="849" spans="1:27" x14ac:dyDescent="0.2">
      <c r="A849" s="39"/>
      <c r="B849" s="39"/>
      <c r="C849" s="43"/>
      <c r="D849" s="43"/>
      <c r="E849" s="43"/>
      <c r="F849" s="132"/>
      <c r="G849" s="41" t="e">
        <f>VLOOKUP(F849,Pcode!A:B,2,FALSE)</f>
        <v>#N/A</v>
      </c>
      <c r="H849" s="41"/>
      <c r="I849" s="41" t="e">
        <f>VLOOKUP(H849,Pcode!C:D,2,FALSE)</f>
        <v>#N/A</v>
      </c>
      <c r="J849" s="41"/>
      <c r="K849" s="160"/>
      <c r="L849" s="160"/>
      <c r="M849" s="46"/>
      <c r="N849" s="136"/>
      <c r="O849" s="136"/>
      <c r="P849" s="136"/>
      <c r="Q849" s="136"/>
      <c r="R849" s="136"/>
      <c r="S849" s="136"/>
      <c r="T849" s="136"/>
      <c r="U849" s="136"/>
      <c r="V849" s="136"/>
      <c r="W849" s="136"/>
      <c r="X849" s="136"/>
      <c r="Y849" s="136"/>
      <c r="Z849" s="136"/>
      <c r="AA849" s="231"/>
    </row>
    <row r="850" spans="1:27" x14ac:dyDescent="0.2">
      <c r="A850" s="39"/>
      <c r="B850" s="39"/>
      <c r="C850" s="43"/>
      <c r="D850" s="43"/>
      <c r="E850" s="43"/>
      <c r="F850" s="132"/>
      <c r="G850" s="41" t="e">
        <f>VLOOKUP(F850,Pcode!A:B,2,FALSE)</f>
        <v>#N/A</v>
      </c>
      <c r="H850" s="41"/>
      <c r="I850" s="41" t="e">
        <f>VLOOKUP(H850,Pcode!C:D,2,FALSE)</f>
        <v>#N/A</v>
      </c>
      <c r="J850" s="41"/>
      <c r="K850" s="160"/>
      <c r="L850" s="160"/>
      <c r="M850" s="46"/>
      <c r="N850" s="136"/>
      <c r="O850" s="136"/>
      <c r="P850" s="136"/>
      <c r="Q850" s="136"/>
      <c r="R850" s="136"/>
      <c r="S850" s="136"/>
      <c r="T850" s="136"/>
      <c r="U850" s="136"/>
      <c r="V850" s="136"/>
      <c r="W850" s="136"/>
      <c r="X850" s="136"/>
      <c r="Y850" s="136"/>
      <c r="Z850" s="136"/>
      <c r="AA850" s="231"/>
    </row>
    <row r="851" spans="1:27" x14ac:dyDescent="0.2">
      <c r="A851" s="39"/>
      <c r="B851" s="39"/>
      <c r="C851" s="43"/>
      <c r="D851" s="43"/>
      <c r="E851" s="43"/>
      <c r="F851" s="132"/>
      <c r="G851" s="41" t="e">
        <f>VLOOKUP(F851,Pcode!A:B,2,FALSE)</f>
        <v>#N/A</v>
      </c>
      <c r="H851" s="41"/>
      <c r="I851" s="41" t="e">
        <f>VLOOKUP(H851,Pcode!C:D,2,FALSE)</f>
        <v>#N/A</v>
      </c>
      <c r="J851" s="41"/>
      <c r="K851" s="160"/>
      <c r="L851" s="160"/>
      <c r="M851" s="46"/>
      <c r="N851" s="136"/>
      <c r="O851" s="136"/>
      <c r="P851" s="136"/>
      <c r="Q851" s="136"/>
      <c r="R851" s="136"/>
      <c r="S851" s="136"/>
      <c r="T851" s="136"/>
      <c r="U851" s="136"/>
      <c r="V851" s="136"/>
      <c r="W851" s="136"/>
      <c r="X851" s="136"/>
      <c r="Y851" s="136"/>
      <c r="Z851" s="136"/>
      <c r="AA851" s="231"/>
    </row>
    <row r="852" spans="1:27" x14ac:dyDescent="0.2">
      <c r="A852" s="39"/>
      <c r="B852" s="39"/>
      <c r="C852" s="43"/>
      <c r="D852" s="43"/>
      <c r="E852" s="43"/>
      <c r="F852" s="132"/>
      <c r="G852" s="41" t="e">
        <f>VLOOKUP(F852,Pcode!A:B,2,FALSE)</f>
        <v>#N/A</v>
      </c>
      <c r="H852" s="41"/>
      <c r="I852" s="41" t="e">
        <f>VLOOKUP(H852,Pcode!C:D,2,FALSE)</f>
        <v>#N/A</v>
      </c>
      <c r="J852" s="41"/>
      <c r="K852" s="160"/>
      <c r="L852" s="160"/>
      <c r="M852" s="46"/>
      <c r="N852" s="136"/>
      <c r="O852" s="136"/>
      <c r="P852" s="136"/>
      <c r="Q852" s="136"/>
      <c r="R852" s="136"/>
      <c r="S852" s="136"/>
      <c r="T852" s="136"/>
      <c r="U852" s="136"/>
      <c r="V852" s="136"/>
      <c r="W852" s="136"/>
      <c r="X852" s="136"/>
      <c r="Y852" s="136"/>
      <c r="Z852" s="136"/>
      <c r="AA852" s="231"/>
    </row>
    <row r="853" spans="1:27" x14ac:dyDescent="0.2">
      <c r="A853" s="39"/>
      <c r="B853" s="39"/>
      <c r="C853" s="43"/>
      <c r="D853" s="43"/>
      <c r="E853" s="43"/>
      <c r="F853" s="132"/>
      <c r="G853" s="41" t="e">
        <f>VLOOKUP(F853,Pcode!A:B,2,FALSE)</f>
        <v>#N/A</v>
      </c>
      <c r="H853" s="41"/>
      <c r="I853" s="41" t="e">
        <f>VLOOKUP(H853,Pcode!C:D,2,FALSE)</f>
        <v>#N/A</v>
      </c>
      <c r="J853" s="41"/>
      <c r="K853" s="160"/>
      <c r="L853" s="160"/>
      <c r="M853" s="46"/>
      <c r="N853" s="136"/>
      <c r="O853" s="136"/>
      <c r="P853" s="136"/>
      <c r="Q853" s="136"/>
      <c r="R853" s="136"/>
      <c r="S853" s="136"/>
      <c r="T853" s="136"/>
      <c r="U853" s="136"/>
      <c r="V853" s="136"/>
      <c r="W853" s="136"/>
      <c r="X853" s="136"/>
      <c r="Y853" s="136"/>
      <c r="Z853" s="136"/>
      <c r="AA853" s="231"/>
    </row>
    <row r="854" spans="1:27" x14ac:dyDescent="0.2">
      <c r="A854" s="39"/>
      <c r="B854" s="39"/>
      <c r="C854" s="43"/>
      <c r="D854" s="43"/>
      <c r="E854" s="43"/>
      <c r="F854" s="132"/>
      <c r="G854" s="41" t="e">
        <f>VLOOKUP(F854,Pcode!A:B,2,FALSE)</f>
        <v>#N/A</v>
      </c>
      <c r="H854" s="41"/>
      <c r="I854" s="41" t="e">
        <f>VLOOKUP(H854,Pcode!C:D,2,FALSE)</f>
        <v>#N/A</v>
      </c>
      <c r="J854" s="41"/>
      <c r="K854" s="160"/>
      <c r="L854" s="160"/>
      <c r="M854" s="46"/>
      <c r="N854" s="136"/>
      <c r="O854" s="136"/>
      <c r="P854" s="136"/>
      <c r="Q854" s="136"/>
      <c r="R854" s="136"/>
      <c r="S854" s="136"/>
      <c r="T854" s="136"/>
      <c r="U854" s="136"/>
      <c r="V854" s="136"/>
      <c r="W854" s="136"/>
      <c r="X854" s="136"/>
      <c r="Y854" s="136"/>
      <c r="Z854" s="136"/>
      <c r="AA854" s="231"/>
    </row>
    <row r="855" spans="1:27" x14ac:dyDescent="0.2">
      <c r="A855" s="39"/>
      <c r="B855" s="39"/>
      <c r="C855" s="43"/>
      <c r="D855" s="43"/>
      <c r="E855" s="43"/>
      <c r="F855" s="132"/>
      <c r="G855" s="41" t="e">
        <f>VLOOKUP(F855,Pcode!A:B,2,FALSE)</f>
        <v>#N/A</v>
      </c>
      <c r="H855" s="41"/>
      <c r="I855" s="41" t="e">
        <f>VLOOKUP(H855,Pcode!C:D,2,FALSE)</f>
        <v>#N/A</v>
      </c>
      <c r="J855" s="41"/>
      <c r="K855" s="160"/>
      <c r="L855" s="160"/>
      <c r="M855" s="46"/>
      <c r="N855" s="136"/>
      <c r="O855" s="136"/>
      <c r="P855" s="136"/>
      <c r="Q855" s="136"/>
      <c r="R855" s="136"/>
      <c r="S855" s="136"/>
      <c r="T855" s="136"/>
      <c r="U855" s="136"/>
      <c r="V855" s="136"/>
      <c r="W855" s="136"/>
      <c r="X855" s="136"/>
      <c r="Y855" s="136"/>
      <c r="Z855" s="136"/>
      <c r="AA855" s="231"/>
    </row>
    <row r="856" spans="1:27" x14ac:dyDescent="0.2">
      <c r="A856" s="39"/>
      <c r="B856" s="39"/>
      <c r="C856" s="43"/>
      <c r="D856" s="43"/>
      <c r="E856" s="43"/>
      <c r="F856" s="132"/>
      <c r="G856" s="41" t="e">
        <f>VLOOKUP(F856,Pcode!A:B,2,FALSE)</f>
        <v>#N/A</v>
      </c>
      <c r="H856" s="41"/>
      <c r="I856" s="41" t="e">
        <f>VLOOKUP(H856,Pcode!C:D,2,FALSE)</f>
        <v>#N/A</v>
      </c>
      <c r="J856" s="41"/>
      <c r="K856" s="160"/>
      <c r="L856" s="160"/>
      <c r="M856" s="46"/>
      <c r="N856" s="136"/>
      <c r="O856" s="136"/>
      <c r="P856" s="136"/>
      <c r="Q856" s="136"/>
      <c r="R856" s="136"/>
      <c r="S856" s="136"/>
      <c r="T856" s="136"/>
      <c r="U856" s="136"/>
      <c r="V856" s="136"/>
      <c r="W856" s="136"/>
      <c r="X856" s="136"/>
      <c r="Y856" s="136"/>
      <c r="Z856" s="136"/>
      <c r="AA856" s="231"/>
    </row>
    <row r="857" spans="1:27" x14ac:dyDescent="0.2">
      <c r="A857" s="39"/>
      <c r="B857" s="39"/>
      <c r="C857" s="43"/>
      <c r="D857" s="43"/>
      <c r="E857" s="43"/>
      <c r="F857" s="132"/>
      <c r="G857" s="41" t="e">
        <f>VLOOKUP(F857,Pcode!A:B,2,FALSE)</f>
        <v>#N/A</v>
      </c>
      <c r="H857" s="41"/>
      <c r="I857" s="41" t="e">
        <f>VLOOKUP(H857,Pcode!C:D,2,FALSE)</f>
        <v>#N/A</v>
      </c>
      <c r="J857" s="41"/>
      <c r="K857" s="160"/>
      <c r="L857" s="160"/>
      <c r="M857" s="46"/>
      <c r="N857" s="136"/>
      <c r="O857" s="136"/>
      <c r="P857" s="136"/>
      <c r="Q857" s="136"/>
      <c r="R857" s="136"/>
      <c r="S857" s="136"/>
      <c r="T857" s="136"/>
      <c r="U857" s="136"/>
      <c r="V857" s="136"/>
      <c r="W857" s="136"/>
      <c r="X857" s="136"/>
      <c r="Y857" s="136"/>
      <c r="Z857" s="136"/>
      <c r="AA857" s="231"/>
    </row>
    <row r="858" spans="1:27" x14ac:dyDescent="0.2">
      <c r="A858" s="39"/>
      <c r="B858" s="39"/>
      <c r="C858" s="43"/>
      <c r="D858" s="43"/>
      <c r="E858" s="43"/>
      <c r="F858" s="132"/>
      <c r="G858" s="41" t="e">
        <f>VLOOKUP(F858,Pcode!A:B,2,FALSE)</f>
        <v>#N/A</v>
      </c>
      <c r="H858" s="41"/>
      <c r="I858" s="41" t="e">
        <f>VLOOKUP(H858,Pcode!C:D,2,FALSE)</f>
        <v>#N/A</v>
      </c>
      <c r="J858" s="41"/>
      <c r="K858" s="160"/>
      <c r="L858" s="160"/>
      <c r="M858" s="46"/>
      <c r="N858" s="136"/>
      <c r="O858" s="136"/>
      <c r="P858" s="136"/>
      <c r="Q858" s="136"/>
      <c r="R858" s="136"/>
      <c r="S858" s="136"/>
      <c r="T858" s="136"/>
      <c r="U858" s="136"/>
      <c r="V858" s="136"/>
      <c r="W858" s="136"/>
      <c r="X858" s="136"/>
      <c r="Y858" s="136"/>
      <c r="Z858" s="136"/>
      <c r="AA858" s="231"/>
    </row>
    <row r="859" spans="1:27" x14ac:dyDescent="0.2">
      <c r="A859" s="39"/>
      <c r="B859" s="39"/>
      <c r="C859" s="43"/>
      <c r="D859" s="43"/>
      <c r="E859" s="43"/>
      <c r="F859" s="132"/>
      <c r="G859" s="41" t="e">
        <f>VLOOKUP(F859,Pcode!A:B,2,FALSE)</f>
        <v>#N/A</v>
      </c>
      <c r="H859" s="41"/>
      <c r="I859" s="41" t="e">
        <f>VLOOKUP(H859,Pcode!C:D,2,FALSE)</f>
        <v>#N/A</v>
      </c>
      <c r="J859" s="41"/>
      <c r="K859" s="160"/>
      <c r="L859" s="160"/>
      <c r="M859" s="46"/>
      <c r="N859" s="136"/>
      <c r="O859" s="136"/>
      <c r="P859" s="136"/>
      <c r="Q859" s="136"/>
      <c r="R859" s="136"/>
      <c r="S859" s="136"/>
      <c r="T859" s="136"/>
      <c r="U859" s="136"/>
      <c r="V859" s="136"/>
      <c r="W859" s="136"/>
      <c r="X859" s="136"/>
      <c r="Y859" s="136"/>
      <c r="Z859" s="136"/>
      <c r="AA859" s="231"/>
    </row>
    <row r="860" spans="1:27" x14ac:dyDescent="0.2">
      <c r="A860" s="39"/>
      <c r="B860" s="39"/>
      <c r="C860" s="43"/>
      <c r="D860" s="43"/>
      <c r="E860" s="43"/>
      <c r="F860" s="132"/>
      <c r="G860" s="41" t="e">
        <f>VLOOKUP(F860,Pcode!A:B,2,FALSE)</f>
        <v>#N/A</v>
      </c>
      <c r="H860" s="41"/>
      <c r="I860" s="41" t="e">
        <f>VLOOKUP(H860,Pcode!C:D,2,FALSE)</f>
        <v>#N/A</v>
      </c>
      <c r="J860" s="41"/>
      <c r="K860" s="160"/>
      <c r="L860" s="160"/>
      <c r="M860" s="46"/>
      <c r="N860" s="136"/>
      <c r="O860" s="136"/>
      <c r="P860" s="136"/>
      <c r="Q860" s="136"/>
      <c r="R860" s="136"/>
      <c r="S860" s="136"/>
      <c r="T860" s="136"/>
      <c r="U860" s="136"/>
      <c r="V860" s="136"/>
      <c r="W860" s="136"/>
      <c r="X860" s="136"/>
      <c r="Y860" s="136"/>
      <c r="Z860" s="136"/>
      <c r="AA860" s="231"/>
    </row>
    <row r="861" spans="1:27" x14ac:dyDescent="0.2">
      <c r="A861" s="39"/>
      <c r="B861" s="39"/>
      <c r="C861" s="43"/>
      <c r="D861" s="43"/>
      <c r="E861" s="43"/>
      <c r="F861" s="132"/>
      <c r="G861" s="41" t="e">
        <f>VLOOKUP(F861,Pcode!A:B,2,FALSE)</f>
        <v>#N/A</v>
      </c>
      <c r="H861" s="41"/>
      <c r="I861" s="41" t="e">
        <f>VLOOKUP(H861,Pcode!C:D,2,FALSE)</f>
        <v>#N/A</v>
      </c>
      <c r="J861" s="41"/>
      <c r="K861" s="160"/>
      <c r="L861" s="160"/>
      <c r="M861" s="46"/>
      <c r="N861" s="136"/>
      <c r="O861" s="136"/>
      <c r="P861" s="136"/>
      <c r="Q861" s="136"/>
      <c r="R861" s="136"/>
      <c r="S861" s="136"/>
      <c r="T861" s="136"/>
      <c r="U861" s="136"/>
      <c r="V861" s="136"/>
      <c r="W861" s="136"/>
      <c r="X861" s="136"/>
      <c r="Y861" s="136"/>
      <c r="Z861" s="136"/>
      <c r="AA861" s="231"/>
    </row>
    <row r="862" spans="1:27" x14ac:dyDescent="0.2">
      <c r="A862" s="39"/>
      <c r="B862" s="39"/>
      <c r="C862" s="43"/>
      <c r="D862" s="43"/>
      <c r="E862" s="43"/>
      <c r="F862" s="132"/>
      <c r="G862" s="41" t="e">
        <f>VLOOKUP(F862,Pcode!A:B,2,FALSE)</f>
        <v>#N/A</v>
      </c>
      <c r="H862" s="41"/>
      <c r="I862" s="41" t="e">
        <f>VLOOKUP(H862,Pcode!C:D,2,FALSE)</f>
        <v>#N/A</v>
      </c>
      <c r="J862" s="41"/>
      <c r="K862" s="160"/>
      <c r="L862" s="160"/>
      <c r="M862" s="46"/>
      <c r="N862" s="136"/>
      <c r="O862" s="136"/>
      <c r="P862" s="136"/>
      <c r="Q862" s="136"/>
      <c r="R862" s="136"/>
      <c r="S862" s="136"/>
      <c r="T862" s="136"/>
      <c r="U862" s="136"/>
      <c r="V862" s="136"/>
      <c r="W862" s="136"/>
      <c r="X862" s="136"/>
      <c r="Y862" s="136"/>
      <c r="Z862" s="136"/>
      <c r="AA862" s="231"/>
    </row>
    <row r="863" spans="1:27" x14ac:dyDescent="0.2">
      <c r="A863" s="39"/>
      <c r="B863" s="39"/>
      <c r="C863" s="43"/>
      <c r="D863" s="43"/>
      <c r="E863" s="43"/>
      <c r="F863" s="132"/>
      <c r="G863" s="41" t="e">
        <f>VLOOKUP(F863,Pcode!A:B,2,FALSE)</f>
        <v>#N/A</v>
      </c>
      <c r="H863" s="41"/>
      <c r="I863" s="41" t="e">
        <f>VLOOKUP(H863,Pcode!C:D,2,FALSE)</f>
        <v>#N/A</v>
      </c>
      <c r="J863" s="41"/>
      <c r="K863" s="160"/>
      <c r="L863" s="160"/>
      <c r="M863" s="46"/>
      <c r="N863" s="136"/>
      <c r="O863" s="136"/>
      <c r="P863" s="136"/>
      <c r="Q863" s="136"/>
      <c r="R863" s="136"/>
      <c r="S863" s="136"/>
      <c r="T863" s="136"/>
      <c r="U863" s="136"/>
      <c r="V863" s="136"/>
      <c r="W863" s="136"/>
      <c r="X863" s="136"/>
      <c r="Y863" s="136"/>
      <c r="Z863" s="136"/>
      <c r="AA863" s="231"/>
    </row>
    <row r="864" spans="1:27" x14ac:dyDescent="0.2">
      <c r="A864" s="39"/>
      <c r="B864" s="39"/>
      <c r="C864" s="43"/>
      <c r="D864" s="43"/>
      <c r="E864" s="43"/>
      <c r="F864" s="132"/>
      <c r="G864" s="41" t="e">
        <f>VLOOKUP(F864,Pcode!A:B,2,FALSE)</f>
        <v>#N/A</v>
      </c>
      <c r="H864" s="41"/>
      <c r="I864" s="41" t="e">
        <f>VLOOKUP(H864,Pcode!C:D,2,FALSE)</f>
        <v>#N/A</v>
      </c>
      <c r="J864" s="41"/>
      <c r="K864" s="160"/>
      <c r="L864" s="160"/>
      <c r="M864" s="46"/>
      <c r="N864" s="136"/>
      <c r="O864" s="136"/>
      <c r="P864" s="136"/>
      <c r="Q864" s="136"/>
      <c r="R864" s="136"/>
      <c r="S864" s="136"/>
      <c r="T864" s="136"/>
      <c r="U864" s="136"/>
      <c r="V864" s="136"/>
      <c r="W864" s="136"/>
      <c r="X864" s="136"/>
      <c r="Y864" s="136"/>
      <c r="Z864" s="136"/>
      <c r="AA864" s="231"/>
    </row>
    <row r="865" spans="1:27" x14ac:dyDescent="0.2">
      <c r="A865" s="39"/>
      <c r="B865" s="39"/>
      <c r="C865" s="43"/>
      <c r="D865" s="43"/>
      <c r="E865" s="43"/>
      <c r="F865" s="132"/>
      <c r="G865" s="41" t="e">
        <f>VLOOKUP(F865,Pcode!A:B,2,FALSE)</f>
        <v>#N/A</v>
      </c>
      <c r="H865" s="41"/>
      <c r="I865" s="41" t="e">
        <f>VLOOKUP(H865,Pcode!C:D,2,FALSE)</f>
        <v>#N/A</v>
      </c>
      <c r="J865" s="41"/>
      <c r="K865" s="160"/>
      <c r="L865" s="160"/>
      <c r="M865" s="46"/>
      <c r="N865" s="136"/>
      <c r="O865" s="136"/>
      <c r="P865" s="136"/>
      <c r="Q865" s="136"/>
      <c r="R865" s="136"/>
      <c r="S865" s="136"/>
      <c r="T865" s="136"/>
      <c r="U865" s="136"/>
      <c r="V865" s="136"/>
      <c r="W865" s="136"/>
      <c r="X865" s="136"/>
      <c r="Y865" s="136"/>
      <c r="Z865" s="136"/>
      <c r="AA865" s="231"/>
    </row>
    <row r="866" spans="1:27" x14ac:dyDescent="0.2">
      <c r="A866" s="39"/>
      <c r="B866" s="39"/>
      <c r="C866" s="43"/>
      <c r="D866" s="43"/>
      <c r="E866" s="43"/>
      <c r="F866" s="132"/>
      <c r="G866" s="41" t="e">
        <f>VLOOKUP(F866,Pcode!A:B,2,FALSE)</f>
        <v>#N/A</v>
      </c>
      <c r="H866" s="41"/>
      <c r="I866" s="41" t="e">
        <f>VLOOKUP(H866,Pcode!C:D,2,FALSE)</f>
        <v>#N/A</v>
      </c>
      <c r="J866" s="41"/>
      <c r="K866" s="160"/>
      <c r="L866" s="160"/>
      <c r="M866" s="46"/>
      <c r="N866" s="136"/>
      <c r="O866" s="136"/>
      <c r="P866" s="136"/>
      <c r="Q866" s="136"/>
      <c r="R866" s="136"/>
      <c r="S866" s="136"/>
      <c r="T866" s="136"/>
      <c r="U866" s="136"/>
      <c r="V866" s="136"/>
      <c r="W866" s="136"/>
      <c r="X866" s="136"/>
      <c r="Y866" s="136"/>
      <c r="Z866" s="136"/>
      <c r="AA866" s="231"/>
    </row>
    <row r="867" spans="1:27" x14ac:dyDescent="0.2">
      <c r="A867" s="39"/>
      <c r="B867" s="39"/>
      <c r="C867" s="43"/>
      <c r="D867" s="43"/>
      <c r="E867" s="43"/>
      <c r="F867" s="132"/>
      <c r="G867" s="41" t="e">
        <f>VLOOKUP(F867,Pcode!A:B,2,FALSE)</f>
        <v>#N/A</v>
      </c>
      <c r="H867" s="41"/>
      <c r="I867" s="41" t="e">
        <f>VLOOKUP(H867,Pcode!C:D,2,FALSE)</f>
        <v>#N/A</v>
      </c>
      <c r="J867" s="41"/>
      <c r="K867" s="160"/>
      <c r="L867" s="160"/>
      <c r="M867" s="46"/>
      <c r="N867" s="136"/>
      <c r="O867" s="136"/>
      <c r="P867" s="136"/>
      <c r="Q867" s="136"/>
      <c r="R867" s="136"/>
      <c r="S867" s="136"/>
      <c r="T867" s="136"/>
      <c r="U867" s="136"/>
      <c r="V867" s="136"/>
      <c r="W867" s="136"/>
      <c r="X867" s="136"/>
      <c r="Y867" s="136"/>
      <c r="Z867" s="136"/>
      <c r="AA867" s="231"/>
    </row>
    <row r="868" spans="1:27" x14ac:dyDescent="0.2">
      <c r="A868" s="39"/>
      <c r="B868" s="39"/>
      <c r="C868" s="43"/>
      <c r="D868" s="43"/>
      <c r="E868" s="43"/>
      <c r="F868" s="132"/>
      <c r="G868" s="41" t="e">
        <f>VLOOKUP(F868,Pcode!A:B,2,FALSE)</f>
        <v>#N/A</v>
      </c>
      <c r="H868" s="41"/>
      <c r="I868" s="41" t="e">
        <f>VLOOKUP(H868,Pcode!C:D,2,FALSE)</f>
        <v>#N/A</v>
      </c>
      <c r="J868" s="41"/>
      <c r="K868" s="160"/>
      <c r="L868" s="160"/>
      <c r="M868" s="46"/>
      <c r="N868" s="136"/>
      <c r="O868" s="136"/>
      <c r="P868" s="136"/>
      <c r="Q868" s="136"/>
      <c r="R868" s="136"/>
      <c r="S868" s="136"/>
      <c r="T868" s="136"/>
      <c r="U868" s="136"/>
      <c r="V868" s="136"/>
      <c r="W868" s="136"/>
      <c r="X868" s="136"/>
      <c r="Y868" s="136"/>
      <c r="Z868" s="136"/>
      <c r="AA868" s="231"/>
    </row>
    <row r="869" spans="1:27" x14ac:dyDescent="0.2">
      <c r="A869" s="39"/>
      <c r="B869" s="39"/>
      <c r="C869" s="43"/>
      <c r="D869" s="43"/>
      <c r="E869" s="43"/>
      <c r="F869" s="132"/>
      <c r="G869" s="41" t="e">
        <f>VLOOKUP(F869,Pcode!A:B,2,FALSE)</f>
        <v>#N/A</v>
      </c>
      <c r="H869" s="41"/>
      <c r="I869" s="41" t="e">
        <f>VLOOKUP(H869,Pcode!C:D,2,FALSE)</f>
        <v>#N/A</v>
      </c>
      <c r="J869" s="41"/>
      <c r="K869" s="160"/>
      <c r="L869" s="160"/>
      <c r="M869" s="46"/>
      <c r="N869" s="136"/>
      <c r="O869" s="136"/>
      <c r="P869" s="136"/>
      <c r="Q869" s="136"/>
      <c r="R869" s="136"/>
      <c r="S869" s="136"/>
      <c r="T869" s="136"/>
      <c r="U869" s="136"/>
      <c r="V869" s="136"/>
      <c r="W869" s="136"/>
      <c r="X869" s="136"/>
      <c r="Y869" s="136"/>
      <c r="Z869" s="136"/>
      <c r="AA869" s="231"/>
    </row>
    <row r="870" spans="1:27" x14ac:dyDescent="0.2">
      <c r="A870" s="39"/>
      <c r="B870" s="39"/>
      <c r="C870" s="43"/>
      <c r="D870" s="43"/>
      <c r="E870" s="43"/>
      <c r="F870" s="132"/>
      <c r="G870" s="41" t="e">
        <f>VLOOKUP(F870,Pcode!A:B,2,FALSE)</f>
        <v>#N/A</v>
      </c>
      <c r="H870" s="41"/>
      <c r="I870" s="41" t="e">
        <f>VLOOKUP(H870,Pcode!C:D,2,FALSE)</f>
        <v>#N/A</v>
      </c>
      <c r="J870" s="41"/>
      <c r="K870" s="160"/>
      <c r="L870" s="160"/>
      <c r="M870" s="46"/>
      <c r="N870" s="136"/>
      <c r="O870" s="136"/>
      <c r="P870" s="136"/>
      <c r="Q870" s="136"/>
      <c r="R870" s="136"/>
      <c r="S870" s="136"/>
      <c r="T870" s="136"/>
      <c r="U870" s="136"/>
      <c r="V870" s="136"/>
      <c r="W870" s="136"/>
      <c r="X870" s="136"/>
      <c r="Y870" s="136"/>
      <c r="Z870" s="136"/>
      <c r="AA870" s="231"/>
    </row>
    <row r="871" spans="1:27" x14ac:dyDescent="0.2">
      <c r="A871" s="39"/>
      <c r="B871" s="39"/>
      <c r="C871" s="43"/>
      <c r="D871" s="43"/>
      <c r="E871" s="43"/>
      <c r="F871" s="132"/>
      <c r="G871" s="41" t="e">
        <f>VLOOKUP(F871,Pcode!A:B,2,FALSE)</f>
        <v>#N/A</v>
      </c>
      <c r="H871" s="41"/>
      <c r="I871" s="41" t="e">
        <f>VLOOKUP(H871,Pcode!C:D,2,FALSE)</f>
        <v>#N/A</v>
      </c>
      <c r="J871" s="41"/>
      <c r="K871" s="160"/>
      <c r="L871" s="160"/>
      <c r="M871" s="46"/>
      <c r="N871" s="136"/>
      <c r="O871" s="136"/>
      <c r="P871" s="136"/>
      <c r="Q871" s="136"/>
      <c r="R871" s="136"/>
      <c r="S871" s="136"/>
      <c r="T871" s="136"/>
      <c r="U871" s="136"/>
      <c r="V871" s="136"/>
      <c r="W871" s="136"/>
      <c r="X871" s="136"/>
      <c r="Y871" s="136"/>
      <c r="Z871" s="136"/>
      <c r="AA871" s="231"/>
    </row>
    <row r="872" spans="1:27" x14ac:dyDescent="0.2">
      <c r="A872" s="39"/>
      <c r="B872" s="39"/>
      <c r="C872" s="43"/>
      <c r="D872" s="43"/>
      <c r="E872" s="43"/>
      <c r="F872" s="132"/>
      <c r="G872" s="41" t="e">
        <f>VLOOKUP(F872,Pcode!A:B,2,FALSE)</f>
        <v>#N/A</v>
      </c>
      <c r="H872" s="41"/>
      <c r="I872" s="41" t="e">
        <f>VLOOKUP(H872,Pcode!C:D,2,FALSE)</f>
        <v>#N/A</v>
      </c>
      <c r="J872" s="41"/>
      <c r="K872" s="160"/>
      <c r="L872" s="160"/>
      <c r="M872" s="46"/>
      <c r="N872" s="136"/>
      <c r="O872" s="136"/>
      <c r="P872" s="136"/>
      <c r="Q872" s="136"/>
      <c r="R872" s="136"/>
      <c r="S872" s="136"/>
      <c r="T872" s="136"/>
      <c r="U872" s="136"/>
      <c r="V872" s="136"/>
      <c r="W872" s="136"/>
      <c r="X872" s="136"/>
      <c r="Y872" s="136"/>
      <c r="Z872" s="136"/>
      <c r="AA872" s="231"/>
    </row>
    <row r="873" spans="1:27" x14ac:dyDescent="0.2">
      <c r="A873" s="39"/>
      <c r="B873" s="39"/>
      <c r="C873" s="43"/>
      <c r="D873" s="43"/>
      <c r="E873" s="43"/>
      <c r="F873" s="132"/>
      <c r="G873" s="41" t="e">
        <f>VLOOKUP(F873,Pcode!A:B,2,FALSE)</f>
        <v>#N/A</v>
      </c>
      <c r="H873" s="41"/>
      <c r="I873" s="41" t="e">
        <f>VLOOKUP(H873,Pcode!C:D,2,FALSE)</f>
        <v>#N/A</v>
      </c>
      <c r="J873" s="41"/>
      <c r="K873" s="160"/>
      <c r="L873" s="160"/>
      <c r="M873" s="46"/>
      <c r="N873" s="136"/>
      <c r="O873" s="136"/>
      <c r="P873" s="136"/>
      <c r="Q873" s="136"/>
      <c r="R873" s="136"/>
      <c r="S873" s="136"/>
      <c r="T873" s="136"/>
      <c r="U873" s="136"/>
      <c r="V873" s="136"/>
      <c r="W873" s="136"/>
      <c r="X873" s="136"/>
      <c r="Y873" s="136"/>
      <c r="Z873" s="136"/>
      <c r="AA873" s="231"/>
    </row>
    <row r="874" spans="1:27" x14ac:dyDescent="0.2">
      <c r="A874" s="39"/>
      <c r="B874" s="39"/>
      <c r="C874" s="43"/>
      <c r="D874" s="43"/>
      <c r="E874" s="43"/>
      <c r="F874" s="132"/>
      <c r="G874" s="41" t="e">
        <f>VLOOKUP(F874,Pcode!A:B,2,FALSE)</f>
        <v>#N/A</v>
      </c>
      <c r="H874" s="41"/>
      <c r="I874" s="41" t="e">
        <f>VLOOKUP(H874,Pcode!C:D,2,FALSE)</f>
        <v>#N/A</v>
      </c>
      <c r="J874" s="41"/>
      <c r="K874" s="160"/>
      <c r="L874" s="160"/>
      <c r="M874" s="46"/>
      <c r="N874" s="136"/>
      <c r="O874" s="136"/>
      <c r="P874" s="136"/>
      <c r="Q874" s="136"/>
      <c r="R874" s="136"/>
      <c r="S874" s="136"/>
      <c r="T874" s="136"/>
      <c r="U874" s="136"/>
      <c r="V874" s="136"/>
      <c r="W874" s="136"/>
      <c r="X874" s="136"/>
      <c r="Y874" s="136"/>
      <c r="Z874" s="136"/>
      <c r="AA874" s="231"/>
    </row>
    <row r="875" spans="1:27" x14ac:dyDescent="0.2">
      <c r="A875" s="39"/>
      <c r="B875" s="39"/>
      <c r="C875" s="43"/>
      <c r="D875" s="43"/>
      <c r="E875" s="43"/>
      <c r="F875" s="132"/>
      <c r="G875" s="41" t="e">
        <f>VLOOKUP(F875,Pcode!A:B,2,FALSE)</f>
        <v>#N/A</v>
      </c>
      <c r="H875" s="41"/>
      <c r="I875" s="41" t="e">
        <f>VLOOKUP(H875,Pcode!C:D,2,FALSE)</f>
        <v>#N/A</v>
      </c>
      <c r="J875" s="41"/>
      <c r="K875" s="160"/>
      <c r="L875" s="160"/>
      <c r="M875" s="46"/>
      <c r="N875" s="136"/>
      <c r="O875" s="136"/>
      <c r="P875" s="136"/>
      <c r="Q875" s="136"/>
      <c r="R875" s="136"/>
      <c r="S875" s="136"/>
      <c r="T875" s="136"/>
      <c r="U875" s="136"/>
      <c r="V875" s="136"/>
      <c r="W875" s="136"/>
      <c r="X875" s="136"/>
      <c r="Y875" s="136"/>
      <c r="Z875" s="136"/>
      <c r="AA875" s="231"/>
    </row>
    <row r="876" spans="1:27" x14ac:dyDescent="0.2">
      <c r="A876" s="39"/>
      <c r="B876" s="39"/>
      <c r="C876" s="43"/>
      <c r="D876" s="43"/>
      <c r="E876" s="43"/>
      <c r="F876" s="132"/>
      <c r="G876" s="41" t="e">
        <f>VLOOKUP(F876,Pcode!A:B,2,FALSE)</f>
        <v>#N/A</v>
      </c>
      <c r="H876" s="41"/>
      <c r="I876" s="41" t="e">
        <f>VLOOKUP(H876,Pcode!C:D,2,FALSE)</f>
        <v>#N/A</v>
      </c>
      <c r="J876" s="41"/>
      <c r="K876" s="160"/>
      <c r="L876" s="160"/>
      <c r="M876" s="46"/>
      <c r="N876" s="136"/>
      <c r="O876" s="136"/>
      <c r="P876" s="136"/>
      <c r="Q876" s="136"/>
      <c r="R876" s="136"/>
      <c r="S876" s="136"/>
      <c r="T876" s="136"/>
      <c r="U876" s="136"/>
      <c r="V876" s="136"/>
      <c r="W876" s="136"/>
      <c r="X876" s="136"/>
      <c r="Y876" s="136"/>
      <c r="Z876" s="136"/>
      <c r="AA876" s="231"/>
    </row>
    <row r="877" spans="1:27" x14ac:dyDescent="0.2">
      <c r="A877" s="39"/>
      <c r="B877" s="39"/>
      <c r="C877" s="43"/>
      <c r="D877" s="43"/>
      <c r="E877" s="43"/>
      <c r="F877" s="132"/>
      <c r="G877" s="41" t="e">
        <f>VLOOKUP(F877,Pcode!A:B,2,FALSE)</f>
        <v>#N/A</v>
      </c>
      <c r="H877" s="41"/>
      <c r="I877" s="41" t="e">
        <f>VLOOKUP(H877,Pcode!C:D,2,FALSE)</f>
        <v>#N/A</v>
      </c>
      <c r="J877" s="41"/>
      <c r="K877" s="160"/>
      <c r="L877" s="160"/>
      <c r="M877" s="46"/>
      <c r="N877" s="136"/>
      <c r="O877" s="136"/>
      <c r="P877" s="136"/>
      <c r="Q877" s="136"/>
      <c r="R877" s="136"/>
      <c r="S877" s="136"/>
      <c r="T877" s="136"/>
      <c r="U877" s="136"/>
      <c r="V877" s="136"/>
      <c r="W877" s="136"/>
      <c r="X877" s="136"/>
      <c r="Y877" s="136"/>
      <c r="Z877" s="136"/>
      <c r="AA877" s="231"/>
    </row>
    <row r="878" spans="1:27" x14ac:dyDescent="0.2">
      <c r="A878" s="39"/>
      <c r="B878" s="39"/>
      <c r="C878" s="43"/>
      <c r="D878" s="43"/>
      <c r="E878" s="43"/>
      <c r="F878" s="132"/>
      <c r="G878" s="41" t="e">
        <f>VLOOKUP(F878,Pcode!A:B,2,FALSE)</f>
        <v>#N/A</v>
      </c>
      <c r="H878" s="41"/>
      <c r="I878" s="41" t="e">
        <f>VLOOKUP(H878,Pcode!C:D,2,FALSE)</f>
        <v>#N/A</v>
      </c>
      <c r="J878" s="41"/>
      <c r="K878" s="160"/>
      <c r="L878" s="160"/>
      <c r="M878" s="46"/>
      <c r="N878" s="136"/>
      <c r="O878" s="136"/>
      <c r="P878" s="136"/>
      <c r="Q878" s="136"/>
      <c r="R878" s="136"/>
      <c r="S878" s="136"/>
      <c r="T878" s="136"/>
      <c r="U878" s="136"/>
      <c r="V878" s="136"/>
      <c r="W878" s="136"/>
      <c r="X878" s="136"/>
      <c r="Y878" s="136"/>
      <c r="Z878" s="136"/>
      <c r="AA878" s="231"/>
    </row>
    <row r="879" spans="1:27" x14ac:dyDescent="0.2">
      <c r="A879" s="39"/>
      <c r="B879" s="39"/>
      <c r="C879" s="43"/>
      <c r="D879" s="43"/>
      <c r="E879" s="43"/>
      <c r="F879" s="132"/>
      <c r="G879" s="41" t="e">
        <f>VLOOKUP(F879,Pcode!A:B,2,FALSE)</f>
        <v>#N/A</v>
      </c>
      <c r="H879" s="41"/>
      <c r="I879" s="41" t="e">
        <f>VLOOKUP(H879,Pcode!C:D,2,FALSE)</f>
        <v>#N/A</v>
      </c>
      <c r="J879" s="41"/>
      <c r="K879" s="160"/>
      <c r="L879" s="160"/>
      <c r="M879" s="46"/>
      <c r="N879" s="136"/>
      <c r="O879" s="136"/>
      <c r="P879" s="136"/>
      <c r="Q879" s="136"/>
      <c r="R879" s="136"/>
      <c r="S879" s="136"/>
      <c r="T879" s="136"/>
      <c r="U879" s="136"/>
      <c r="V879" s="136"/>
      <c r="W879" s="136"/>
      <c r="X879" s="136"/>
      <c r="Y879" s="136"/>
      <c r="Z879" s="136"/>
      <c r="AA879" s="231"/>
    </row>
    <row r="880" spans="1:27" x14ac:dyDescent="0.2">
      <c r="A880" s="39"/>
      <c r="B880" s="39"/>
      <c r="C880" s="43"/>
      <c r="D880" s="43"/>
      <c r="E880" s="43"/>
      <c r="F880" s="132"/>
      <c r="G880" s="41" t="e">
        <f>VLOOKUP(F880,Pcode!A:B,2,FALSE)</f>
        <v>#N/A</v>
      </c>
      <c r="H880" s="41"/>
      <c r="I880" s="41" t="e">
        <f>VLOOKUP(H880,Pcode!C:D,2,FALSE)</f>
        <v>#N/A</v>
      </c>
      <c r="J880" s="41"/>
      <c r="K880" s="160"/>
      <c r="L880" s="160"/>
      <c r="M880" s="46"/>
      <c r="N880" s="136"/>
      <c r="O880" s="136"/>
      <c r="P880" s="136"/>
      <c r="Q880" s="136"/>
      <c r="R880" s="136"/>
      <c r="S880" s="136"/>
      <c r="T880" s="136"/>
      <c r="U880" s="136"/>
      <c r="V880" s="136"/>
      <c r="W880" s="136"/>
      <c r="X880" s="136"/>
      <c r="Y880" s="136"/>
      <c r="Z880" s="136"/>
      <c r="AA880" s="231"/>
    </row>
    <row r="881" spans="1:27" x14ac:dyDescent="0.2">
      <c r="A881" s="39"/>
      <c r="B881" s="39"/>
      <c r="C881" s="43"/>
      <c r="D881" s="43"/>
      <c r="E881" s="43"/>
      <c r="F881" s="132"/>
      <c r="G881" s="41" t="e">
        <f>VLOOKUP(F881,Pcode!A:B,2,FALSE)</f>
        <v>#N/A</v>
      </c>
      <c r="H881" s="41"/>
      <c r="I881" s="41" t="e">
        <f>VLOOKUP(H881,Pcode!C:D,2,FALSE)</f>
        <v>#N/A</v>
      </c>
      <c r="J881" s="41"/>
      <c r="K881" s="160"/>
      <c r="L881" s="160"/>
      <c r="M881" s="46"/>
      <c r="N881" s="136"/>
      <c r="O881" s="136"/>
      <c r="P881" s="136"/>
      <c r="Q881" s="136"/>
      <c r="R881" s="136"/>
      <c r="S881" s="136"/>
      <c r="T881" s="136"/>
      <c r="U881" s="136"/>
      <c r="V881" s="136"/>
      <c r="W881" s="136"/>
      <c r="X881" s="136"/>
      <c r="Y881" s="136"/>
      <c r="Z881" s="136"/>
      <c r="AA881" s="231"/>
    </row>
    <row r="882" spans="1:27" x14ac:dyDescent="0.2">
      <c r="A882" s="39"/>
      <c r="B882" s="39"/>
      <c r="C882" s="43"/>
      <c r="D882" s="43"/>
      <c r="E882" s="43"/>
      <c r="F882" s="132"/>
      <c r="G882" s="41" t="e">
        <f>VLOOKUP(F882,Pcode!A:B,2,FALSE)</f>
        <v>#N/A</v>
      </c>
      <c r="H882" s="41"/>
      <c r="I882" s="41" t="e">
        <f>VLOOKUP(H882,Pcode!C:D,2,FALSE)</f>
        <v>#N/A</v>
      </c>
      <c r="J882" s="41"/>
      <c r="K882" s="160"/>
      <c r="L882" s="160"/>
      <c r="M882" s="46"/>
      <c r="N882" s="136"/>
      <c r="O882" s="136"/>
      <c r="P882" s="136"/>
      <c r="Q882" s="136"/>
      <c r="R882" s="136"/>
      <c r="S882" s="136"/>
      <c r="T882" s="136"/>
      <c r="U882" s="136"/>
      <c r="V882" s="136"/>
      <c r="W882" s="136"/>
      <c r="X882" s="136"/>
      <c r="Y882" s="136"/>
      <c r="Z882" s="136"/>
      <c r="AA882" s="231"/>
    </row>
    <row r="883" spans="1:27" x14ac:dyDescent="0.2">
      <c r="A883" s="39"/>
      <c r="B883" s="39"/>
      <c r="C883" s="43"/>
      <c r="D883" s="43"/>
      <c r="E883" s="43"/>
      <c r="F883" s="132"/>
      <c r="G883" s="41" t="e">
        <f>VLOOKUP(F883,Pcode!A:B,2,FALSE)</f>
        <v>#N/A</v>
      </c>
      <c r="H883" s="41"/>
      <c r="I883" s="41" t="e">
        <f>VLOOKUP(H883,Pcode!C:D,2,FALSE)</f>
        <v>#N/A</v>
      </c>
      <c r="J883" s="41"/>
      <c r="K883" s="160"/>
      <c r="L883" s="160"/>
      <c r="M883" s="46"/>
      <c r="N883" s="136"/>
      <c r="O883" s="136"/>
      <c r="P883" s="136"/>
      <c r="Q883" s="136"/>
      <c r="R883" s="136"/>
      <c r="S883" s="136"/>
      <c r="T883" s="136"/>
      <c r="U883" s="136"/>
      <c r="V883" s="136"/>
      <c r="W883" s="136"/>
      <c r="X883" s="136"/>
      <c r="Y883" s="136"/>
      <c r="Z883" s="136"/>
      <c r="AA883" s="231"/>
    </row>
    <row r="884" spans="1:27" x14ac:dyDescent="0.2">
      <c r="A884" s="39"/>
      <c r="B884" s="39"/>
      <c r="C884" s="43"/>
      <c r="D884" s="43"/>
      <c r="E884" s="43"/>
      <c r="F884" s="132"/>
      <c r="G884" s="41" t="e">
        <f>VLOOKUP(F884,Pcode!A:B,2,FALSE)</f>
        <v>#N/A</v>
      </c>
      <c r="H884" s="41"/>
      <c r="I884" s="41" t="e">
        <f>VLOOKUP(H884,Pcode!C:D,2,FALSE)</f>
        <v>#N/A</v>
      </c>
      <c r="J884" s="41"/>
      <c r="K884" s="160"/>
      <c r="L884" s="160"/>
      <c r="M884" s="46"/>
      <c r="N884" s="136"/>
      <c r="O884" s="136"/>
      <c r="P884" s="136"/>
      <c r="Q884" s="136"/>
      <c r="R884" s="136"/>
      <c r="S884" s="136"/>
      <c r="T884" s="136"/>
      <c r="U884" s="136"/>
      <c r="V884" s="136"/>
      <c r="W884" s="136"/>
      <c r="X884" s="136"/>
      <c r="Y884" s="136"/>
      <c r="Z884" s="136"/>
      <c r="AA884" s="231"/>
    </row>
    <row r="885" spans="1:27" x14ac:dyDescent="0.2">
      <c r="A885" s="39"/>
      <c r="B885" s="39"/>
      <c r="C885" s="43"/>
      <c r="D885" s="43"/>
      <c r="E885" s="43"/>
      <c r="F885" s="132"/>
      <c r="G885" s="41" t="e">
        <f>VLOOKUP(F885,Pcode!A:B,2,FALSE)</f>
        <v>#N/A</v>
      </c>
      <c r="H885" s="41"/>
      <c r="I885" s="41" t="e">
        <f>VLOOKUP(H885,Pcode!C:D,2,FALSE)</f>
        <v>#N/A</v>
      </c>
      <c r="J885" s="41"/>
      <c r="K885" s="160"/>
      <c r="L885" s="160"/>
      <c r="M885" s="46"/>
      <c r="N885" s="136"/>
      <c r="O885" s="136"/>
      <c r="P885" s="136"/>
      <c r="Q885" s="136"/>
      <c r="R885" s="136"/>
      <c r="S885" s="136"/>
      <c r="T885" s="136"/>
      <c r="U885" s="136"/>
      <c r="V885" s="136"/>
      <c r="W885" s="136"/>
      <c r="X885" s="136"/>
      <c r="Y885" s="136"/>
      <c r="Z885" s="136"/>
      <c r="AA885" s="231"/>
    </row>
    <row r="886" spans="1:27" x14ac:dyDescent="0.2">
      <c r="A886" s="39"/>
      <c r="B886" s="39"/>
      <c r="C886" s="43"/>
      <c r="D886" s="43"/>
      <c r="E886" s="43"/>
      <c r="F886" s="132"/>
      <c r="G886" s="41" t="e">
        <f>VLOOKUP(F886,Pcode!A:B,2,FALSE)</f>
        <v>#N/A</v>
      </c>
      <c r="H886" s="41"/>
      <c r="I886" s="41" t="e">
        <f>VLOOKUP(H886,Pcode!C:D,2,FALSE)</f>
        <v>#N/A</v>
      </c>
      <c r="J886" s="41"/>
      <c r="K886" s="160"/>
      <c r="L886" s="160"/>
      <c r="M886" s="46"/>
      <c r="N886" s="136"/>
      <c r="O886" s="136"/>
      <c r="P886" s="136"/>
      <c r="Q886" s="136"/>
      <c r="R886" s="136"/>
      <c r="S886" s="136"/>
      <c r="T886" s="136"/>
      <c r="U886" s="136"/>
      <c r="V886" s="136"/>
      <c r="W886" s="136"/>
      <c r="X886" s="136"/>
      <c r="Y886" s="136"/>
      <c r="Z886" s="136"/>
      <c r="AA886" s="231"/>
    </row>
    <row r="887" spans="1:27" x14ac:dyDescent="0.2">
      <c r="A887" s="39"/>
      <c r="B887" s="39"/>
      <c r="C887" s="43"/>
      <c r="D887" s="43"/>
      <c r="E887" s="43"/>
      <c r="F887" s="132"/>
      <c r="G887" s="41" t="e">
        <f>VLOOKUP(F887,Pcode!A:B,2,FALSE)</f>
        <v>#N/A</v>
      </c>
      <c r="H887" s="41"/>
      <c r="I887" s="41" t="e">
        <f>VLOOKUP(H887,Pcode!C:D,2,FALSE)</f>
        <v>#N/A</v>
      </c>
      <c r="J887" s="41"/>
      <c r="K887" s="160"/>
      <c r="L887" s="160"/>
      <c r="M887" s="46"/>
      <c r="N887" s="136"/>
      <c r="O887" s="136"/>
      <c r="P887" s="136"/>
      <c r="Q887" s="136"/>
      <c r="R887" s="136"/>
      <c r="S887" s="136"/>
      <c r="T887" s="136"/>
      <c r="U887" s="136"/>
      <c r="V887" s="136"/>
      <c r="W887" s="136"/>
      <c r="X887" s="136"/>
      <c r="Y887" s="136"/>
      <c r="Z887" s="136"/>
      <c r="AA887" s="231"/>
    </row>
    <row r="888" spans="1:27" x14ac:dyDescent="0.2">
      <c r="A888" s="39"/>
      <c r="B888" s="39"/>
      <c r="C888" s="43"/>
      <c r="D888" s="43"/>
      <c r="E888" s="43"/>
      <c r="F888" s="132"/>
      <c r="G888" s="41" t="e">
        <f>VLOOKUP(F888,Pcode!A:B,2,FALSE)</f>
        <v>#N/A</v>
      </c>
      <c r="H888" s="41"/>
      <c r="I888" s="41" t="e">
        <f>VLOOKUP(H888,Pcode!C:D,2,FALSE)</f>
        <v>#N/A</v>
      </c>
      <c r="J888" s="41"/>
      <c r="K888" s="160"/>
      <c r="L888" s="160"/>
      <c r="M888" s="46"/>
      <c r="N888" s="136"/>
      <c r="O888" s="136"/>
      <c r="P888" s="136"/>
      <c r="Q888" s="136"/>
      <c r="R888" s="136"/>
      <c r="S888" s="136"/>
      <c r="T888" s="136"/>
      <c r="U888" s="136"/>
      <c r="V888" s="136"/>
      <c r="W888" s="136"/>
      <c r="X888" s="136"/>
      <c r="Y888" s="136"/>
      <c r="Z888" s="136"/>
      <c r="AA888" s="231"/>
    </row>
    <row r="889" spans="1:27" x14ac:dyDescent="0.2">
      <c r="A889" s="39"/>
      <c r="B889" s="39"/>
      <c r="C889" s="43"/>
      <c r="D889" s="43"/>
      <c r="E889" s="43"/>
      <c r="F889" s="132"/>
      <c r="G889" s="41" t="e">
        <f>VLOOKUP(F889,Pcode!A:B,2,FALSE)</f>
        <v>#N/A</v>
      </c>
      <c r="H889" s="41"/>
      <c r="I889" s="41" t="e">
        <f>VLOOKUP(H889,Pcode!C:D,2,FALSE)</f>
        <v>#N/A</v>
      </c>
      <c r="J889" s="41"/>
      <c r="K889" s="160"/>
      <c r="L889" s="160"/>
      <c r="M889" s="46"/>
      <c r="N889" s="136"/>
      <c r="O889" s="136"/>
      <c r="P889" s="136"/>
      <c r="Q889" s="136"/>
      <c r="R889" s="136"/>
      <c r="S889" s="136"/>
      <c r="T889" s="136"/>
      <c r="U889" s="136"/>
      <c r="V889" s="136"/>
      <c r="W889" s="136"/>
      <c r="X889" s="136"/>
      <c r="Y889" s="136"/>
      <c r="Z889" s="136"/>
      <c r="AA889" s="231"/>
    </row>
    <row r="890" spans="1:27" x14ac:dyDescent="0.2">
      <c r="A890" s="39"/>
      <c r="B890" s="39"/>
      <c r="C890" s="43"/>
      <c r="D890" s="43"/>
      <c r="E890" s="43"/>
      <c r="F890" s="132"/>
      <c r="G890" s="41" t="e">
        <f>VLOOKUP(F890,Pcode!A:B,2,FALSE)</f>
        <v>#N/A</v>
      </c>
      <c r="H890" s="41"/>
      <c r="I890" s="41" t="e">
        <f>VLOOKUP(H890,Pcode!C:D,2,FALSE)</f>
        <v>#N/A</v>
      </c>
      <c r="J890" s="41"/>
      <c r="K890" s="160"/>
      <c r="L890" s="160"/>
      <c r="M890" s="46"/>
      <c r="N890" s="136"/>
      <c r="O890" s="136"/>
      <c r="P890" s="136"/>
      <c r="Q890" s="136"/>
      <c r="R890" s="136"/>
      <c r="S890" s="136"/>
      <c r="T890" s="136"/>
      <c r="U890" s="136"/>
      <c r="V890" s="136"/>
      <c r="W890" s="136"/>
      <c r="X890" s="136"/>
      <c r="Y890" s="136"/>
      <c r="Z890" s="136"/>
      <c r="AA890" s="231"/>
    </row>
    <row r="891" spans="1:27" x14ac:dyDescent="0.2">
      <c r="A891" s="39"/>
      <c r="B891" s="39"/>
      <c r="C891" s="43"/>
      <c r="D891" s="43"/>
      <c r="E891" s="43"/>
      <c r="F891" s="132"/>
      <c r="G891" s="41" t="e">
        <f>VLOOKUP(F891,Pcode!A:B,2,FALSE)</f>
        <v>#N/A</v>
      </c>
      <c r="H891" s="41"/>
      <c r="I891" s="41" t="e">
        <f>VLOOKUP(H891,Pcode!C:D,2,FALSE)</f>
        <v>#N/A</v>
      </c>
      <c r="J891" s="41"/>
      <c r="K891" s="160"/>
      <c r="L891" s="160"/>
      <c r="M891" s="46"/>
      <c r="N891" s="136"/>
      <c r="O891" s="136"/>
      <c r="P891" s="136"/>
      <c r="Q891" s="136"/>
      <c r="R891" s="136"/>
      <c r="S891" s="136"/>
      <c r="T891" s="136"/>
      <c r="U891" s="136"/>
      <c r="V891" s="136"/>
      <c r="W891" s="136"/>
      <c r="X891" s="136"/>
      <c r="Y891" s="136"/>
      <c r="Z891" s="136"/>
      <c r="AA891" s="231"/>
    </row>
    <row r="892" spans="1:27" x14ac:dyDescent="0.2">
      <c r="A892" s="39"/>
      <c r="B892" s="39"/>
      <c r="C892" s="43"/>
      <c r="D892" s="43"/>
      <c r="E892" s="43"/>
      <c r="F892" s="132"/>
      <c r="G892" s="41" t="e">
        <f>VLOOKUP(F892,Pcode!A:B,2,FALSE)</f>
        <v>#N/A</v>
      </c>
      <c r="H892" s="41"/>
      <c r="I892" s="41" t="e">
        <f>VLOOKUP(H892,Pcode!C:D,2,FALSE)</f>
        <v>#N/A</v>
      </c>
      <c r="J892" s="41"/>
      <c r="K892" s="160"/>
      <c r="L892" s="160"/>
      <c r="M892" s="46"/>
      <c r="N892" s="136"/>
      <c r="O892" s="136"/>
      <c r="P892" s="136"/>
      <c r="Q892" s="136"/>
      <c r="R892" s="136"/>
      <c r="S892" s="136"/>
      <c r="T892" s="136"/>
      <c r="U892" s="136"/>
      <c r="V892" s="136"/>
      <c r="W892" s="136"/>
      <c r="X892" s="136"/>
      <c r="Y892" s="136"/>
      <c r="Z892" s="136"/>
      <c r="AA892" s="231"/>
    </row>
    <row r="893" spans="1:27" x14ac:dyDescent="0.2">
      <c r="A893" s="39"/>
      <c r="B893" s="39"/>
      <c r="C893" s="43"/>
      <c r="D893" s="43"/>
      <c r="E893" s="43"/>
      <c r="F893" s="132"/>
      <c r="G893" s="41" t="e">
        <f>VLOOKUP(F893,Pcode!A:B,2,FALSE)</f>
        <v>#N/A</v>
      </c>
      <c r="H893" s="41"/>
      <c r="I893" s="41" t="e">
        <f>VLOOKUP(H893,Pcode!C:D,2,FALSE)</f>
        <v>#N/A</v>
      </c>
      <c r="J893" s="41"/>
      <c r="K893" s="160"/>
      <c r="L893" s="160"/>
      <c r="M893" s="46"/>
      <c r="N893" s="136"/>
      <c r="O893" s="136"/>
      <c r="P893" s="136"/>
      <c r="Q893" s="136"/>
      <c r="R893" s="136"/>
      <c r="S893" s="136"/>
      <c r="T893" s="136"/>
      <c r="U893" s="136"/>
      <c r="V893" s="136"/>
      <c r="W893" s="136"/>
      <c r="X893" s="136"/>
      <c r="Y893" s="136"/>
      <c r="Z893" s="136"/>
      <c r="AA893" s="231"/>
    </row>
    <row r="894" spans="1:27" x14ac:dyDescent="0.2">
      <c r="A894" s="39"/>
      <c r="B894" s="39"/>
      <c r="C894" s="43"/>
      <c r="D894" s="43"/>
      <c r="E894" s="43"/>
      <c r="F894" s="132"/>
      <c r="G894" s="41" t="e">
        <f>VLOOKUP(F894,Pcode!A:B,2,FALSE)</f>
        <v>#N/A</v>
      </c>
      <c r="H894" s="41"/>
      <c r="I894" s="41" t="e">
        <f>VLOOKUP(H894,Pcode!C:D,2,FALSE)</f>
        <v>#N/A</v>
      </c>
      <c r="J894" s="41"/>
      <c r="K894" s="160"/>
      <c r="L894" s="160"/>
      <c r="M894" s="46"/>
      <c r="N894" s="136"/>
      <c r="O894" s="136"/>
      <c r="P894" s="136"/>
      <c r="Q894" s="136"/>
      <c r="R894" s="136"/>
      <c r="S894" s="136"/>
      <c r="T894" s="136"/>
      <c r="U894" s="136"/>
      <c r="V894" s="136"/>
      <c r="W894" s="136"/>
      <c r="X894" s="136"/>
      <c r="Y894" s="136"/>
      <c r="Z894" s="136"/>
      <c r="AA894" s="231"/>
    </row>
    <row r="895" spans="1:27" x14ac:dyDescent="0.2">
      <c r="A895" s="39"/>
      <c r="B895" s="39"/>
      <c r="C895" s="43"/>
      <c r="D895" s="43"/>
      <c r="E895" s="43"/>
      <c r="F895" s="132"/>
      <c r="G895" s="41" t="e">
        <f>VLOOKUP(F895,Pcode!A:B,2,FALSE)</f>
        <v>#N/A</v>
      </c>
      <c r="H895" s="41"/>
      <c r="I895" s="41" t="e">
        <f>VLOOKUP(H895,Pcode!C:D,2,FALSE)</f>
        <v>#N/A</v>
      </c>
      <c r="J895" s="41"/>
      <c r="K895" s="160"/>
      <c r="L895" s="160"/>
      <c r="M895" s="46"/>
      <c r="N895" s="136"/>
      <c r="O895" s="136"/>
      <c r="P895" s="136"/>
      <c r="Q895" s="136"/>
      <c r="R895" s="136"/>
      <c r="S895" s="136"/>
      <c r="T895" s="136"/>
      <c r="U895" s="136"/>
      <c r="V895" s="136"/>
      <c r="W895" s="136"/>
      <c r="X895" s="136"/>
      <c r="Y895" s="136"/>
      <c r="Z895" s="136"/>
      <c r="AA895" s="231"/>
    </row>
    <row r="896" spans="1:27" x14ac:dyDescent="0.2">
      <c r="A896" s="39"/>
      <c r="B896" s="39"/>
      <c r="C896" s="43"/>
      <c r="D896" s="43"/>
      <c r="E896" s="43"/>
      <c r="F896" s="132"/>
      <c r="G896" s="41" t="e">
        <f>VLOOKUP(F896,Pcode!A:B,2,FALSE)</f>
        <v>#N/A</v>
      </c>
      <c r="H896" s="41"/>
      <c r="I896" s="41" t="e">
        <f>VLOOKUP(H896,Pcode!C:D,2,FALSE)</f>
        <v>#N/A</v>
      </c>
      <c r="J896" s="41"/>
      <c r="K896" s="160"/>
      <c r="L896" s="160"/>
      <c r="M896" s="46"/>
      <c r="N896" s="136"/>
      <c r="O896" s="136"/>
      <c r="P896" s="136"/>
      <c r="Q896" s="136"/>
      <c r="R896" s="136"/>
      <c r="S896" s="136"/>
      <c r="T896" s="136"/>
      <c r="U896" s="136"/>
      <c r="V896" s="136"/>
      <c r="W896" s="136"/>
      <c r="X896" s="136"/>
      <c r="Y896" s="136"/>
      <c r="Z896" s="136"/>
      <c r="AA896" s="231"/>
    </row>
    <row r="897" spans="1:27" x14ac:dyDescent="0.2">
      <c r="A897" s="39"/>
      <c r="B897" s="39"/>
      <c r="C897" s="43"/>
      <c r="D897" s="43"/>
      <c r="E897" s="43"/>
      <c r="F897" s="132"/>
      <c r="G897" s="41" t="e">
        <f>VLOOKUP(F897,Pcode!A:B,2,FALSE)</f>
        <v>#N/A</v>
      </c>
      <c r="H897" s="41"/>
      <c r="I897" s="41" t="e">
        <f>VLOOKUP(H897,Pcode!C:D,2,FALSE)</f>
        <v>#N/A</v>
      </c>
      <c r="J897" s="41"/>
      <c r="K897" s="160"/>
      <c r="L897" s="160"/>
      <c r="M897" s="46"/>
      <c r="N897" s="136"/>
      <c r="O897" s="136"/>
      <c r="P897" s="136"/>
      <c r="Q897" s="136"/>
      <c r="R897" s="136"/>
      <c r="S897" s="136"/>
      <c r="T897" s="136"/>
      <c r="U897" s="136"/>
      <c r="V897" s="136"/>
      <c r="W897" s="136"/>
      <c r="X897" s="136"/>
      <c r="Y897" s="136"/>
      <c r="Z897" s="136"/>
      <c r="AA897" s="231"/>
    </row>
    <row r="898" spans="1:27" x14ac:dyDescent="0.2">
      <c r="A898" s="39"/>
      <c r="B898" s="39"/>
      <c r="C898" s="43"/>
      <c r="D898" s="43"/>
      <c r="E898" s="43"/>
      <c r="F898" s="132"/>
      <c r="G898" s="41" t="e">
        <f>VLOOKUP(F898,Pcode!A:B,2,FALSE)</f>
        <v>#N/A</v>
      </c>
      <c r="H898" s="41"/>
      <c r="I898" s="41" t="e">
        <f>VLOOKUP(H898,Pcode!C:D,2,FALSE)</f>
        <v>#N/A</v>
      </c>
      <c r="J898" s="41"/>
      <c r="K898" s="160"/>
      <c r="L898" s="160"/>
      <c r="M898" s="46"/>
      <c r="N898" s="136"/>
      <c r="O898" s="136"/>
      <c r="P898" s="136"/>
      <c r="Q898" s="136"/>
      <c r="R898" s="136"/>
      <c r="S898" s="136"/>
      <c r="T898" s="136"/>
      <c r="U898" s="136"/>
      <c r="V898" s="136"/>
      <c r="W898" s="136"/>
      <c r="X898" s="136"/>
      <c r="Y898" s="136"/>
      <c r="Z898" s="136"/>
      <c r="AA898" s="231"/>
    </row>
    <row r="899" spans="1:27" x14ac:dyDescent="0.2">
      <c r="A899" s="39"/>
      <c r="B899" s="39"/>
      <c r="C899" s="43"/>
      <c r="D899" s="43"/>
      <c r="E899" s="43"/>
      <c r="F899" s="132"/>
      <c r="G899" s="41" t="e">
        <f>VLOOKUP(F899,Pcode!A:B,2,FALSE)</f>
        <v>#N/A</v>
      </c>
      <c r="H899" s="41"/>
      <c r="I899" s="41" t="e">
        <f>VLOOKUP(H899,Pcode!C:D,2,FALSE)</f>
        <v>#N/A</v>
      </c>
      <c r="J899" s="41"/>
      <c r="K899" s="160"/>
      <c r="L899" s="160"/>
      <c r="M899" s="46"/>
      <c r="N899" s="136"/>
      <c r="O899" s="136"/>
      <c r="P899" s="136"/>
      <c r="Q899" s="136"/>
      <c r="R899" s="136"/>
      <c r="S899" s="136"/>
      <c r="T899" s="136"/>
      <c r="U899" s="136"/>
      <c r="V899" s="136"/>
      <c r="W899" s="136"/>
      <c r="X899" s="136"/>
      <c r="Y899" s="136"/>
      <c r="Z899" s="136"/>
      <c r="AA899" s="231"/>
    </row>
    <row r="900" spans="1:27" x14ac:dyDescent="0.2">
      <c r="A900" s="39"/>
      <c r="B900" s="39"/>
      <c r="C900" s="43"/>
      <c r="D900" s="43"/>
      <c r="E900" s="43"/>
      <c r="F900" s="132"/>
      <c r="G900" s="41" t="e">
        <f>VLOOKUP(F900,Pcode!A:B,2,FALSE)</f>
        <v>#N/A</v>
      </c>
      <c r="H900" s="41"/>
      <c r="I900" s="41" t="e">
        <f>VLOOKUP(H900,Pcode!C:D,2,FALSE)</f>
        <v>#N/A</v>
      </c>
      <c r="J900" s="41"/>
      <c r="K900" s="160"/>
      <c r="L900" s="160"/>
      <c r="M900" s="46"/>
      <c r="N900" s="136"/>
      <c r="O900" s="136"/>
      <c r="P900" s="136"/>
      <c r="Q900" s="136"/>
      <c r="R900" s="136"/>
      <c r="S900" s="136"/>
      <c r="T900" s="136"/>
      <c r="U900" s="136"/>
      <c r="V900" s="136"/>
      <c r="W900" s="136"/>
      <c r="X900" s="136"/>
      <c r="Y900" s="136"/>
      <c r="Z900" s="136"/>
      <c r="AA900" s="231"/>
    </row>
    <row r="901" spans="1:27" x14ac:dyDescent="0.2">
      <c r="A901" s="39"/>
      <c r="B901" s="39"/>
      <c r="C901" s="43"/>
      <c r="D901" s="43"/>
      <c r="E901" s="43"/>
      <c r="F901" s="132"/>
      <c r="G901" s="41" t="e">
        <f>VLOOKUP(F901,Pcode!A:B,2,FALSE)</f>
        <v>#N/A</v>
      </c>
      <c r="H901" s="41"/>
      <c r="I901" s="41" t="e">
        <f>VLOOKUP(H901,Pcode!C:D,2,FALSE)</f>
        <v>#N/A</v>
      </c>
      <c r="J901" s="41"/>
      <c r="K901" s="160"/>
      <c r="L901" s="160"/>
      <c r="M901" s="46"/>
      <c r="N901" s="136"/>
      <c r="O901" s="136"/>
      <c r="P901" s="136"/>
      <c r="Q901" s="136"/>
      <c r="R901" s="136"/>
      <c r="S901" s="136"/>
      <c r="T901" s="136"/>
      <c r="U901" s="136"/>
      <c r="V901" s="136"/>
      <c r="W901" s="136"/>
      <c r="X901" s="136"/>
      <c r="Y901" s="136"/>
      <c r="Z901" s="136"/>
      <c r="AA901" s="231"/>
    </row>
    <row r="902" spans="1:27" x14ac:dyDescent="0.2">
      <c r="A902" s="39"/>
      <c r="B902" s="39"/>
      <c r="C902" s="43"/>
      <c r="D902" s="43"/>
      <c r="E902" s="43"/>
      <c r="F902" s="132"/>
      <c r="G902" s="41" t="e">
        <f>VLOOKUP(F902,Pcode!A:B,2,FALSE)</f>
        <v>#N/A</v>
      </c>
      <c r="H902" s="41"/>
      <c r="I902" s="41" t="e">
        <f>VLOOKUP(H902,Pcode!C:D,2,FALSE)</f>
        <v>#N/A</v>
      </c>
      <c r="J902" s="41"/>
      <c r="K902" s="160"/>
      <c r="L902" s="160"/>
      <c r="M902" s="46"/>
      <c r="N902" s="136"/>
      <c r="O902" s="136"/>
      <c r="P902" s="136"/>
      <c r="Q902" s="136"/>
      <c r="R902" s="136"/>
      <c r="S902" s="136"/>
      <c r="T902" s="136"/>
      <c r="U902" s="136"/>
      <c r="V902" s="136"/>
      <c r="W902" s="136"/>
      <c r="X902" s="136"/>
      <c r="Y902" s="136"/>
      <c r="Z902" s="136"/>
      <c r="AA902" s="231"/>
    </row>
    <row r="903" spans="1:27" x14ac:dyDescent="0.2">
      <c r="A903" s="39"/>
      <c r="B903" s="39"/>
      <c r="C903" s="43"/>
      <c r="D903" s="43"/>
      <c r="E903" s="43"/>
      <c r="F903" s="132"/>
      <c r="G903" s="41" t="e">
        <f>VLOOKUP(F903,Pcode!A:B,2,FALSE)</f>
        <v>#N/A</v>
      </c>
      <c r="H903" s="41"/>
      <c r="I903" s="41" t="e">
        <f>VLOOKUP(H903,Pcode!C:D,2,FALSE)</f>
        <v>#N/A</v>
      </c>
      <c r="J903" s="41"/>
      <c r="K903" s="160"/>
      <c r="L903" s="160"/>
      <c r="M903" s="46"/>
      <c r="N903" s="136"/>
      <c r="O903" s="136"/>
      <c r="P903" s="136"/>
      <c r="Q903" s="136"/>
      <c r="R903" s="136"/>
      <c r="S903" s="136"/>
      <c r="T903" s="136"/>
      <c r="U903" s="136"/>
      <c r="V903" s="136"/>
      <c r="W903" s="136"/>
      <c r="X903" s="136"/>
      <c r="Y903" s="136"/>
      <c r="Z903" s="136"/>
      <c r="AA903" s="231"/>
    </row>
    <row r="904" spans="1:27" x14ac:dyDescent="0.2">
      <c r="A904" s="39"/>
      <c r="B904" s="39"/>
      <c r="C904" s="43"/>
      <c r="D904" s="43"/>
      <c r="E904" s="43"/>
      <c r="F904" s="132"/>
      <c r="G904" s="41" t="e">
        <f>VLOOKUP(F904,Pcode!A:B,2,FALSE)</f>
        <v>#N/A</v>
      </c>
      <c r="H904" s="41"/>
      <c r="I904" s="41" t="e">
        <f>VLOOKUP(H904,Pcode!C:D,2,FALSE)</f>
        <v>#N/A</v>
      </c>
      <c r="J904" s="41"/>
      <c r="K904" s="160"/>
      <c r="L904" s="160"/>
      <c r="M904" s="46"/>
      <c r="N904" s="136"/>
      <c r="O904" s="136"/>
      <c r="P904" s="136"/>
      <c r="Q904" s="136"/>
      <c r="R904" s="136"/>
      <c r="S904" s="136"/>
      <c r="T904" s="136"/>
      <c r="U904" s="136"/>
      <c r="V904" s="136"/>
      <c r="W904" s="136"/>
      <c r="X904" s="136"/>
      <c r="Y904" s="136"/>
      <c r="Z904" s="136"/>
      <c r="AA904" s="231"/>
    </row>
    <row r="905" spans="1:27" x14ac:dyDescent="0.2">
      <c r="A905" s="39"/>
      <c r="B905" s="39"/>
      <c r="C905" s="43"/>
      <c r="D905" s="43"/>
      <c r="E905" s="43"/>
      <c r="F905" s="132"/>
      <c r="G905" s="41" t="e">
        <f>VLOOKUP(F905,Pcode!A:B,2,FALSE)</f>
        <v>#N/A</v>
      </c>
      <c r="H905" s="41"/>
      <c r="I905" s="41" t="e">
        <f>VLOOKUP(H905,Pcode!C:D,2,FALSE)</f>
        <v>#N/A</v>
      </c>
      <c r="J905" s="41"/>
      <c r="K905" s="160"/>
      <c r="L905" s="160"/>
      <c r="M905" s="46"/>
      <c r="N905" s="136"/>
      <c r="O905" s="136"/>
      <c r="P905" s="136"/>
      <c r="Q905" s="136"/>
      <c r="R905" s="136"/>
      <c r="S905" s="136"/>
      <c r="T905" s="136"/>
      <c r="U905" s="136"/>
      <c r="V905" s="136"/>
      <c r="W905" s="136"/>
      <c r="X905" s="136"/>
      <c r="Y905" s="136"/>
      <c r="Z905" s="136"/>
      <c r="AA905" s="231"/>
    </row>
    <row r="906" spans="1:27" x14ac:dyDescent="0.2">
      <c r="A906" s="39"/>
      <c r="B906" s="39"/>
      <c r="C906" s="43"/>
      <c r="D906" s="43"/>
      <c r="E906" s="43"/>
      <c r="F906" s="132"/>
      <c r="G906" s="41" t="e">
        <f>VLOOKUP(F906,Pcode!A:B,2,FALSE)</f>
        <v>#N/A</v>
      </c>
      <c r="H906" s="41"/>
      <c r="I906" s="41" t="e">
        <f>VLOOKUP(H906,Pcode!C:D,2,FALSE)</f>
        <v>#N/A</v>
      </c>
      <c r="J906" s="41"/>
      <c r="K906" s="160"/>
      <c r="L906" s="160"/>
      <c r="M906" s="46"/>
      <c r="N906" s="136"/>
      <c r="O906" s="136"/>
      <c r="P906" s="136"/>
      <c r="Q906" s="136"/>
      <c r="R906" s="136"/>
      <c r="S906" s="136"/>
      <c r="T906" s="136"/>
      <c r="U906" s="136"/>
      <c r="V906" s="136"/>
      <c r="W906" s="136"/>
      <c r="X906" s="136"/>
      <c r="Y906" s="136"/>
      <c r="Z906" s="136"/>
      <c r="AA906" s="231"/>
    </row>
    <row r="907" spans="1:27" x14ac:dyDescent="0.2">
      <c r="A907" s="39"/>
      <c r="B907" s="39"/>
      <c r="C907" s="43"/>
      <c r="D907" s="43"/>
      <c r="E907" s="43"/>
      <c r="F907" s="132"/>
      <c r="G907" s="41" t="e">
        <f>VLOOKUP(F907,Pcode!A:B,2,FALSE)</f>
        <v>#N/A</v>
      </c>
      <c r="H907" s="41"/>
      <c r="I907" s="41" t="e">
        <f>VLOOKUP(H907,Pcode!C:D,2,FALSE)</f>
        <v>#N/A</v>
      </c>
      <c r="J907" s="41"/>
      <c r="K907" s="160"/>
      <c r="L907" s="160"/>
      <c r="M907" s="46"/>
      <c r="N907" s="136"/>
      <c r="O907" s="136"/>
      <c r="P907" s="136"/>
      <c r="Q907" s="136"/>
      <c r="R907" s="136"/>
      <c r="S907" s="136"/>
      <c r="T907" s="136"/>
      <c r="U907" s="136"/>
      <c r="V907" s="136"/>
      <c r="W907" s="136"/>
      <c r="X907" s="136"/>
      <c r="Y907" s="136"/>
      <c r="Z907" s="136"/>
      <c r="AA907" s="231"/>
    </row>
    <row r="908" spans="1:27" x14ac:dyDescent="0.2">
      <c r="A908" s="39"/>
      <c r="B908" s="39"/>
      <c r="C908" s="43"/>
      <c r="D908" s="43"/>
      <c r="E908" s="43"/>
      <c r="F908" s="132"/>
      <c r="G908" s="41" t="e">
        <f>VLOOKUP(F908,Pcode!A:B,2,FALSE)</f>
        <v>#N/A</v>
      </c>
      <c r="H908" s="41"/>
      <c r="I908" s="41" t="e">
        <f>VLOOKUP(H908,Pcode!C:D,2,FALSE)</f>
        <v>#N/A</v>
      </c>
      <c r="J908" s="41"/>
      <c r="K908" s="160"/>
      <c r="L908" s="160"/>
      <c r="M908" s="46"/>
      <c r="N908" s="136"/>
      <c r="O908" s="136"/>
      <c r="P908" s="136"/>
      <c r="Q908" s="136"/>
      <c r="R908" s="136"/>
      <c r="S908" s="136"/>
      <c r="T908" s="136"/>
      <c r="U908" s="136"/>
      <c r="V908" s="136"/>
      <c r="W908" s="136"/>
      <c r="X908" s="136"/>
      <c r="Y908" s="136"/>
      <c r="Z908" s="136"/>
      <c r="AA908" s="231"/>
    </row>
    <row r="909" spans="1:27" x14ac:dyDescent="0.2">
      <c r="A909" s="39"/>
      <c r="B909" s="39"/>
      <c r="C909" s="43"/>
      <c r="D909" s="43"/>
      <c r="E909" s="43"/>
      <c r="F909" s="132"/>
      <c r="G909" s="41" t="e">
        <f>VLOOKUP(F909,Pcode!A:B,2,FALSE)</f>
        <v>#N/A</v>
      </c>
      <c r="H909" s="41"/>
      <c r="I909" s="41" t="e">
        <f>VLOOKUP(H909,Pcode!C:D,2,FALSE)</f>
        <v>#N/A</v>
      </c>
      <c r="J909" s="41"/>
      <c r="K909" s="160"/>
      <c r="L909" s="160"/>
      <c r="M909" s="46"/>
      <c r="N909" s="136"/>
      <c r="O909" s="136"/>
      <c r="P909" s="136"/>
      <c r="Q909" s="136"/>
      <c r="R909" s="136"/>
      <c r="S909" s="136"/>
      <c r="T909" s="136"/>
      <c r="U909" s="136"/>
      <c r="V909" s="136"/>
      <c r="W909" s="136"/>
      <c r="X909" s="136"/>
      <c r="Y909" s="136"/>
      <c r="Z909" s="136"/>
      <c r="AA909" s="231"/>
    </row>
    <row r="910" spans="1:27" x14ac:dyDescent="0.2">
      <c r="A910" s="39"/>
      <c r="B910" s="39"/>
      <c r="C910" s="43"/>
      <c r="D910" s="43"/>
      <c r="E910" s="43"/>
      <c r="F910" s="132"/>
      <c r="G910" s="41" t="e">
        <f>VLOOKUP(F910,Pcode!A:B,2,FALSE)</f>
        <v>#N/A</v>
      </c>
      <c r="H910" s="41"/>
      <c r="I910" s="41" t="e">
        <f>VLOOKUP(H910,Pcode!C:D,2,FALSE)</f>
        <v>#N/A</v>
      </c>
      <c r="J910" s="41"/>
      <c r="K910" s="160"/>
      <c r="L910" s="160"/>
      <c r="M910" s="46"/>
      <c r="N910" s="136"/>
      <c r="O910" s="136"/>
      <c r="P910" s="136"/>
      <c r="Q910" s="136"/>
      <c r="R910" s="136"/>
      <c r="S910" s="136"/>
      <c r="T910" s="136"/>
      <c r="U910" s="136"/>
      <c r="V910" s="136"/>
      <c r="W910" s="136"/>
      <c r="X910" s="136"/>
      <c r="Y910" s="136"/>
      <c r="Z910" s="136"/>
      <c r="AA910" s="231"/>
    </row>
    <row r="911" spans="1:27" x14ac:dyDescent="0.2">
      <c r="A911" s="39"/>
      <c r="B911" s="39"/>
      <c r="C911" s="43"/>
      <c r="D911" s="43"/>
      <c r="E911" s="43"/>
      <c r="F911" s="132"/>
      <c r="G911" s="41" t="e">
        <f>VLOOKUP(F911,Pcode!A:B,2,FALSE)</f>
        <v>#N/A</v>
      </c>
      <c r="H911" s="41"/>
      <c r="I911" s="41" t="e">
        <f>VLOOKUP(H911,Pcode!C:D,2,FALSE)</f>
        <v>#N/A</v>
      </c>
      <c r="J911" s="41"/>
      <c r="K911" s="160"/>
      <c r="L911" s="160"/>
      <c r="M911" s="46"/>
      <c r="N911" s="136"/>
      <c r="O911" s="136"/>
      <c r="P911" s="136"/>
      <c r="Q911" s="136"/>
      <c r="R911" s="136"/>
      <c r="S911" s="136"/>
      <c r="T911" s="136"/>
      <c r="U911" s="136"/>
      <c r="V911" s="136"/>
      <c r="W911" s="136"/>
      <c r="X911" s="136"/>
      <c r="Y911" s="136"/>
      <c r="Z911" s="136"/>
      <c r="AA911" s="231"/>
    </row>
    <row r="912" spans="1:27" x14ac:dyDescent="0.2">
      <c r="A912" s="39"/>
      <c r="B912" s="39"/>
      <c r="C912" s="43"/>
      <c r="D912" s="43"/>
      <c r="E912" s="43"/>
      <c r="F912" s="132"/>
      <c r="G912" s="41" t="e">
        <f>VLOOKUP(F912,Pcode!A:B,2,FALSE)</f>
        <v>#N/A</v>
      </c>
      <c r="H912" s="41"/>
      <c r="I912" s="41" t="e">
        <f>VLOOKUP(H912,Pcode!C:D,2,FALSE)</f>
        <v>#N/A</v>
      </c>
      <c r="J912" s="41"/>
      <c r="K912" s="160"/>
      <c r="L912" s="160"/>
      <c r="M912" s="46"/>
      <c r="N912" s="136"/>
      <c r="O912" s="136"/>
      <c r="P912" s="136"/>
      <c r="Q912" s="136"/>
      <c r="R912" s="136"/>
      <c r="S912" s="136"/>
      <c r="T912" s="136"/>
      <c r="U912" s="136"/>
      <c r="V912" s="136"/>
      <c r="W912" s="136"/>
      <c r="X912" s="136"/>
      <c r="Y912" s="136"/>
      <c r="Z912" s="136"/>
      <c r="AA912" s="231"/>
    </row>
    <row r="913" spans="1:27" x14ac:dyDescent="0.2">
      <c r="A913" s="39"/>
      <c r="B913" s="39"/>
      <c r="C913" s="43"/>
      <c r="D913" s="43"/>
      <c r="E913" s="43"/>
      <c r="F913" s="132"/>
      <c r="G913" s="41" t="e">
        <f>VLOOKUP(F913,Pcode!A:B,2,FALSE)</f>
        <v>#N/A</v>
      </c>
      <c r="H913" s="41"/>
      <c r="I913" s="41" t="e">
        <f>VLOOKUP(H913,Pcode!C:D,2,FALSE)</f>
        <v>#N/A</v>
      </c>
      <c r="J913" s="41"/>
      <c r="K913" s="160"/>
      <c r="L913" s="160"/>
      <c r="M913" s="46"/>
      <c r="N913" s="136"/>
      <c r="O913" s="136"/>
      <c r="P913" s="136"/>
      <c r="Q913" s="136"/>
      <c r="R913" s="136"/>
      <c r="S913" s="136"/>
      <c r="T913" s="136"/>
      <c r="U913" s="136"/>
      <c r="V913" s="136"/>
      <c r="W913" s="136"/>
      <c r="X913" s="136"/>
      <c r="Y913" s="136"/>
      <c r="Z913" s="136"/>
      <c r="AA913" s="231"/>
    </row>
    <row r="914" spans="1:27" x14ac:dyDescent="0.2">
      <c r="A914" s="39"/>
      <c r="B914" s="39"/>
      <c r="C914" s="43"/>
      <c r="D914" s="43"/>
      <c r="E914" s="43"/>
      <c r="F914" s="132"/>
      <c r="G914" s="41" t="e">
        <f>VLOOKUP(F914,Pcode!A:B,2,FALSE)</f>
        <v>#N/A</v>
      </c>
      <c r="H914" s="41"/>
      <c r="I914" s="41" t="e">
        <f>VLOOKUP(H914,Pcode!C:D,2,FALSE)</f>
        <v>#N/A</v>
      </c>
      <c r="J914" s="41"/>
      <c r="K914" s="160"/>
      <c r="L914" s="160"/>
      <c r="M914" s="46"/>
      <c r="N914" s="136"/>
      <c r="O914" s="136"/>
      <c r="P914" s="136"/>
      <c r="Q914" s="136"/>
      <c r="R914" s="136"/>
      <c r="S914" s="136"/>
      <c r="T914" s="136"/>
      <c r="U914" s="136"/>
      <c r="V914" s="136"/>
      <c r="W914" s="136"/>
      <c r="X914" s="136"/>
      <c r="Y914" s="136"/>
      <c r="Z914" s="136"/>
      <c r="AA914" s="231"/>
    </row>
    <row r="915" spans="1:27" x14ac:dyDescent="0.2">
      <c r="A915" s="39"/>
      <c r="B915" s="39"/>
      <c r="C915" s="43"/>
      <c r="D915" s="43"/>
      <c r="E915" s="43"/>
      <c r="F915" s="132"/>
      <c r="G915" s="41" t="e">
        <f>VLOOKUP(F915,Pcode!A:B,2,FALSE)</f>
        <v>#N/A</v>
      </c>
      <c r="H915" s="41"/>
      <c r="I915" s="41" t="e">
        <f>VLOOKUP(H915,Pcode!C:D,2,FALSE)</f>
        <v>#N/A</v>
      </c>
      <c r="J915" s="41"/>
      <c r="K915" s="160"/>
      <c r="L915" s="160"/>
      <c r="M915" s="46"/>
      <c r="N915" s="136"/>
      <c r="O915" s="136"/>
      <c r="P915" s="136"/>
      <c r="Q915" s="136"/>
      <c r="R915" s="136"/>
      <c r="S915" s="136"/>
      <c r="T915" s="136"/>
      <c r="U915" s="136"/>
      <c r="V915" s="136"/>
      <c r="W915" s="136"/>
      <c r="X915" s="136"/>
      <c r="Y915" s="136"/>
      <c r="Z915" s="136"/>
      <c r="AA915" s="231"/>
    </row>
    <row r="916" spans="1:27" x14ac:dyDescent="0.2">
      <c r="A916" s="39"/>
      <c r="B916" s="39"/>
      <c r="C916" s="43"/>
      <c r="D916" s="43"/>
      <c r="E916" s="43"/>
      <c r="F916" s="132"/>
      <c r="G916" s="41" t="e">
        <f>VLOOKUP(F916,Pcode!A:B,2,FALSE)</f>
        <v>#N/A</v>
      </c>
      <c r="H916" s="41"/>
      <c r="I916" s="41" t="e">
        <f>VLOOKUP(H916,Pcode!C:D,2,FALSE)</f>
        <v>#N/A</v>
      </c>
      <c r="J916" s="41"/>
      <c r="K916" s="160"/>
      <c r="L916" s="160"/>
      <c r="M916" s="46"/>
      <c r="N916" s="136"/>
      <c r="O916" s="136"/>
      <c r="P916" s="136"/>
      <c r="Q916" s="136"/>
      <c r="R916" s="136"/>
      <c r="S916" s="136"/>
      <c r="T916" s="136"/>
      <c r="U916" s="136"/>
      <c r="V916" s="136"/>
      <c r="W916" s="136"/>
      <c r="X916" s="136"/>
      <c r="Y916" s="136"/>
      <c r="Z916" s="136"/>
      <c r="AA916" s="231"/>
    </row>
    <row r="917" spans="1:27" x14ac:dyDescent="0.2">
      <c r="A917" s="39"/>
      <c r="B917" s="39"/>
      <c r="C917" s="43"/>
      <c r="D917" s="43"/>
      <c r="E917" s="43"/>
      <c r="F917" s="132"/>
      <c r="G917" s="41" t="e">
        <f>VLOOKUP(F917,Pcode!A:B,2,FALSE)</f>
        <v>#N/A</v>
      </c>
      <c r="H917" s="41"/>
      <c r="I917" s="41" t="e">
        <f>VLOOKUP(H917,Pcode!C:D,2,FALSE)</f>
        <v>#N/A</v>
      </c>
      <c r="J917" s="41"/>
      <c r="K917" s="160"/>
      <c r="L917" s="160"/>
      <c r="M917" s="46"/>
      <c r="N917" s="136"/>
      <c r="O917" s="136"/>
      <c r="P917" s="136"/>
      <c r="Q917" s="136"/>
      <c r="R917" s="136"/>
      <c r="S917" s="136"/>
      <c r="T917" s="136"/>
      <c r="U917" s="136"/>
      <c r="V917" s="136"/>
      <c r="W917" s="136"/>
      <c r="X917" s="136"/>
      <c r="Y917" s="136"/>
      <c r="Z917" s="136"/>
      <c r="AA917" s="231"/>
    </row>
    <row r="918" spans="1:27" x14ac:dyDescent="0.2">
      <c r="A918" s="39"/>
      <c r="B918" s="39"/>
      <c r="C918" s="43"/>
      <c r="D918" s="43"/>
      <c r="E918" s="43"/>
      <c r="F918" s="132"/>
      <c r="G918" s="41" t="e">
        <f>VLOOKUP(F918,Pcode!A:B,2,FALSE)</f>
        <v>#N/A</v>
      </c>
      <c r="H918" s="41"/>
      <c r="I918" s="41" t="e">
        <f>VLOOKUP(H918,Pcode!C:D,2,FALSE)</f>
        <v>#N/A</v>
      </c>
      <c r="J918" s="41"/>
      <c r="K918" s="160"/>
      <c r="L918" s="160"/>
      <c r="M918" s="46"/>
      <c r="N918" s="136"/>
      <c r="O918" s="136"/>
      <c r="P918" s="136"/>
      <c r="Q918" s="136"/>
      <c r="R918" s="136"/>
      <c r="S918" s="136"/>
      <c r="T918" s="136"/>
      <c r="U918" s="136"/>
      <c r="V918" s="136"/>
      <c r="W918" s="136"/>
      <c r="X918" s="136"/>
      <c r="Y918" s="136"/>
      <c r="Z918" s="136"/>
      <c r="AA918" s="231"/>
    </row>
    <row r="919" spans="1:27" x14ac:dyDescent="0.2">
      <c r="A919" s="39"/>
      <c r="B919" s="39"/>
      <c r="C919" s="43"/>
      <c r="D919" s="43"/>
      <c r="E919" s="43"/>
      <c r="F919" s="132"/>
      <c r="G919" s="41" t="e">
        <f>VLOOKUP(F919,Pcode!A:B,2,FALSE)</f>
        <v>#N/A</v>
      </c>
      <c r="H919" s="41"/>
      <c r="I919" s="41" t="e">
        <f>VLOOKUP(H919,Pcode!C:D,2,FALSE)</f>
        <v>#N/A</v>
      </c>
      <c r="J919" s="41"/>
      <c r="K919" s="160"/>
      <c r="L919" s="160"/>
      <c r="M919" s="46"/>
      <c r="N919" s="136"/>
      <c r="O919" s="136"/>
      <c r="P919" s="136"/>
      <c r="Q919" s="136"/>
      <c r="R919" s="136"/>
      <c r="S919" s="136"/>
      <c r="T919" s="136"/>
      <c r="U919" s="136"/>
      <c r="V919" s="136"/>
      <c r="W919" s="136"/>
      <c r="X919" s="136"/>
      <c r="Y919" s="136"/>
      <c r="Z919" s="136"/>
      <c r="AA919" s="231"/>
    </row>
    <row r="920" spans="1:27" x14ac:dyDescent="0.2">
      <c r="A920" s="39"/>
      <c r="B920" s="39"/>
      <c r="C920" s="43"/>
      <c r="D920" s="43"/>
      <c r="E920" s="43"/>
      <c r="F920" s="132"/>
      <c r="G920" s="41" t="e">
        <f>VLOOKUP(F920,Pcode!A:B,2,FALSE)</f>
        <v>#N/A</v>
      </c>
      <c r="H920" s="41"/>
      <c r="I920" s="41" t="e">
        <f>VLOOKUP(H920,Pcode!C:D,2,FALSE)</f>
        <v>#N/A</v>
      </c>
      <c r="J920" s="41"/>
      <c r="K920" s="160"/>
      <c r="L920" s="160"/>
      <c r="M920" s="46"/>
      <c r="N920" s="136"/>
      <c r="O920" s="136"/>
      <c r="P920" s="136"/>
      <c r="Q920" s="136"/>
      <c r="R920" s="136"/>
      <c r="S920" s="136"/>
      <c r="T920" s="136"/>
      <c r="U920" s="136"/>
      <c r="V920" s="136"/>
      <c r="W920" s="136"/>
      <c r="X920" s="136"/>
      <c r="Y920" s="136"/>
      <c r="Z920" s="136"/>
      <c r="AA920" s="231"/>
    </row>
    <row r="921" spans="1:27" x14ac:dyDescent="0.2">
      <c r="A921" s="39"/>
      <c r="B921" s="39"/>
      <c r="C921" s="43"/>
      <c r="D921" s="43"/>
      <c r="E921" s="43"/>
      <c r="F921" s="132"/>
      <c r="G921" s="41" t="e">
        <f>VLOOKUP(F921,Pcode!A:B,2,FALSE)</f>
        <v>#N/A</v>
      </c>
      <c r="H921" s="41"/>
      <c r="I921" s="41" t="e">
        <f>VLOOKUP(H921,Pcode!C:D,2,FALSE)</f>
        <v>#N/A</v>
      </c>
      <c r="J921" s="41"/>
      <c r="K921" s="160"/>
      <c r="L921" s="160"/>
      <c r="M921" s="46"/>
      <c r="N921" s="136"/>
      <c r="O921" s="136"/>
      <c r="P921" s="136"/>
      <c r="Q921" s="136"/>
      <c r="R921" s="136"/>
      <c r="S921" s="136"/>
      <c r="T921" s="136"/>
      <c r="U921" s="136"/>
      <c r="V921" s="136"/>
      <c r="W921" s="136"/>
      <c r="X921" s="136"/>
      <c r="Y921" s="136"/>
      <c r="Z921" s="136"/>
      <c r="AA921" s="231"/>
    </row>
    <row r="922" spans="1:27" x14ac:dyDescent="0.2">
      <c r="A922" s="39"/>
      <c r="B922" s="39"/>
      <c r="C922" s="43"/>
      <c r="D922" s="43"/>
      <c r="E922" s="43"/>
      <c r="F922" s="132"/>
      <c r="G922" s="41" t="e">
        <f>VLOOKUP(F922,Pcode!A:B,2,FALSE)</f>
        <v>#N/A</v>
      </c>
      <c r="H922" s="41"/>
      <c r="I922" s="41" t="e">
        <f>VLOOKUP(H922,Pcode!C:D,2,FALSE)</f>
        <v>#N/A</v>
      </c>
      <c r="J922" s="41"/>
      <c r="K922" s="160"/>
      <c r="L922" s="160"/>
      <c r="M922" s="46"/>
      <c r="N922" s="136"/>
      <c r="O922" s="136"/>
      <c r="P922" s="136"/>
      <c r="Q922" s="136"/>
      <c r="R922" s="136"/>
      <c r="S922" s="136"/>
      <c r="T922" s="136"/>
      <c r="U922" s="136"/>
      <c r="V922" s="136"/>
      <c r="W922" s="136"/>
      <c r="X922" s="136"/>
      <c r="Y922" s="136"/>
      <c r="Z922" s="136"/>
      <c r="AA922" s="231"/>
    </row>
    <row r="923" spans="1:27" x14ac:dyDescent="0.2">
      <c r="A923" s="39"/>
      <c r="B923" s="39"/>
      <c r="C923" s="43"/>
      <c r="D923" s="43"/>
      <c r="E923" s="43"/>
      <c r="F923" s="132"/>
      <c r="G923" s="41" t="e">
        <f>VLOOKUP(F923,Pcode!A:B,2,FALSE)</f>
        <v>#N/A</v>
      </c>
      <c r="H923" s="41"/>
      <c r="I923" s="41" t="e">
        <f>VLOOKUP(H923,Pcode!C:D,2,FALSE)</f>
        <v>#N/A</v>
      </c>
      <c r="J923" s="41"/>
      <c r="K923" s="160"/>
      <c r="L923" s="160"/>
      <c r="M923" s="46"/>
      <c r="N923" s="136"/>
      <c r="O923" s="136"/>
      <c r="P923" s="136"/>
      <c r="Q923" s="136"/>
      <c r="R923" s="136"/>
      <c r="S923" s="136"/>
      <c r="T923" s="136"/>
      <c r="U923" s="136"/>
      <c r="V923" s="136"/>
      <c r="W923" s="136"/>
      <c r="X923" s="136"/>
      <c r="Y923" s="136"/>
      <c r="Z923" s="136"/>
      <c r="AA923" s="231"/>
    </row>
    <row r="924" spans="1:27" x14ac:dyDescent="0.2">
      <c r="A924" s="39"/>
      <c r="B924" s="39"/>
      <c r="C924" s="43"/>
      <c r="D924" s="43"/>
      <c r="E924" s="43"/>
      <c r="F924" s="132"/>
      <c r="G924" s="41" t="e">
        <f>VLOOKUP(F924,Pcode!A:B,2,FALSE)</f>
        <v>#N/A</v>
      </c>
      <c r="H924" s="41"/>
      <c r="I924" s="41" t="e">
        <f>VLOOKUP(H924,Pcode!C:D,2,FALSE)</f>
        <v>#N/A</v>
      </c>
      <c r="J924" s="41"/>
      <c r="K924" s="160"/>
      <c r="L924" s="160"/>
      <c r="M924" s="46"/>
      <c r="N924" s="136"/>
      <c r="O924" s="136"/>
      <c r="P924" s="136"/>
      <c r="Q924" s="136"/>
      <c r="R924" s="136"/>
      <c r="S924" s="136"/>
      <c r="T924" s="136"/>
      <c r="U924" s="136"/>
      <c r="V924" s="136"/>
      <c r="W924" s="136"/>
      <c r="X924" s="136"/>
      <c r="Y924" s="136"/>
      <c r="Z924" s="136"/>
      <c r="AA924" s="231"/>
    </row>
    <row r="925" spans="1:27" x14ac:dyDescent="0.2">
      <c r="A925" s="39"/>
      <c r="B925" s="39"/>
      <c r="C925" s="43"/>
      <c r="D925" s="43"/>
      <c r="E925" s="43"/>
      <c r="F925" s="132"/>
      <c r="G925" s="41" t="e">
        <f>VLOOKUP(F925,Pcode!A:B,2,FALSE)</f>
        <v>#N/A</v>
      </c>
      <c r="H925" s="41"/>
      <c r="I925" s="41" t="e">
        <f>VLOOKUP(H925,Pcode!C:D,2,FALSE)</f>
        <v>#N/A</v>
      </c>
      <c r="J925" s="41"/>
      <c r="K925" s="160"/>
      <c r="L925" s="160"/>
      <c r="M925" s="46"/>
      <c r="N925" s="136"/>
      <c r="O925" s="136"/>
      <c r="P925" s="136"/>
      <c r="Q925" s="136"/>
      <c r="R925" s="136"/>
      <c r="S925" s="136"/>
      <c r="T925" s="136"/>
      <c r="U925" s="136"/>
      <c r="V925" s="136"/>
      <c r="W925" s="136"/>
      <c r="X925" s="136"/>
      <c r="Y925" s="136"/>
      <c r="Z925" s="136"/>
      <c r="AA925" s="231"/>
    </row>
    <row r="926" spans="1:27" x14ac:dyDescent="0.2">
      <c r="A926" s="39"/>
      <c r="B926" s="39"/>
      <c r="C926" s="43"/>
      <c r="D926" s="43"/>
      <c r="E926" s="43"/>
      <c r="F926" s="132"/>
      <c r="G926" s="41" t="e">
        <f>VLOOKUP(F926,Pcode!A:B,2,FALSE)</f>
        <v>#N/A</v>
      </c>
      <c r="H926" s="41"/>
      <c r="I926" s="41" t="e">
        <f>VLOOKUP(H926,Pcode!C:D,2,FALSE)</f>
        <v>#N/A</v>
      </c>
      <c r="J926" s="41"/>
      <c r="K926" s="160"/>
      <c r="L926" s="160"/>
      <c r="M926" s="46"/>
      <c r="N926" s="136"/>
      <c r="O926" s="136"/>
      <c r="P926" s="136"/>
      <c r="Q926" s="136"/>
      <c r="R926" s="136"/>
      <c r="S926" s="136"/>
      <c r="T926" s="136"/>
      <c r="U926" s="136"/>
      <c r="V926" s="136"/>
      <c r="W926" s="136"/>
      <c r="X926" s="136"/>
      <c r="Y926" s="136"/>
      <c r="Z926" s="136"/>
      <c r="AA926" s="231"/>
    </row>
    <row r="927" spans="1:27" x14ac:dyDescent="0.2">
      <c r="A927" s="39"/>
      <c r="B927" s="39"/>
      <c r="C927" s="43"/>
      <c r="D927" s="43"/>
      <c r="E927" s="43"/>
      <c r="F927" s="132"/>
      <c r="G927" s="41" t="e">
        <f>VLOOKUP(F927,Pcode!A:B,2,FALSE)</f>
        <v>#N/A</v>
      </c>
      <c r="H927" s="41"/>
      <c r="I927" s="41" t="e">
        <f>VLOOKUP(H927,Pcode!C:D,2,FALSE)</f>
        <v>#N/A</v>
      </c>
      <c r="J927" s="41"/>
      <c r="K927" s="160"/>
      <c r="L927" s="160"/>
      <c r="M927" s="46"/>
      <c r="N927" s="136"/>
      <c r="O927" s="136"/>
      <c r="P927" s="136"/>
      <c r="Q927" s="136"/>
      <c r="R927" s="136"/>
      <c r="S927" s="136"/>
      <c r="T927" s="136"/>
      <c r="U927" s="136"/>
      <c r="V927" s="136"/>
      <c r="W927" s="136"/>
      <c r="X927" s="136"/>
      <c r="Y927" s="136"/>
      <c r="Z927" s="136"/>
      <c r="AA927" s="231"/>
    </row>
    <row r="928" spans="1:27" x14ac:dyDescent="0.2">
      <c r="A928" s="39"/>
      <c r="B928" s="39"/>
      <c r="C928" s="43"/>
      <c r="D928" s="43"/>
      <c r="E928" s="43"/>
      <c r="F928" s="132"/>
      <c r="G928" s="41" t="e">
        <f>VLOOKUP(F928,Pcode!A:B,2,FALSE)</f>
        <v>#N/A</v>
      </c>
      <c r="H928" s="41"/>
      <c r="I928" s="41" t="e">
        <f>VLOOKUP(H928,Pcode!C:D,2,FALSE)</f>
        <v>#N/A</v>
      </c>
      <c r="J928" s="41"/>
      <c r="K928" s="160"/>
      <c r="L928" s="160"/>
      <c r="M928" s="46"/>
      <c r="N928" s="136"/>
      <c r="O928" s="136"/>
      <c r="P928" s="136"/>
      <c r="Q928" s="136"/>
      <c r="R928" s="136"/>
      <c r="S928" s="136"/>
      <c r="T928" s="136"/>
      <c r="U928" s="136"/>
      <c r="V928" s="136"/>
      <c r="W928" s="136"/>
      <c r="X928" s="136"/>
      <c r="Y928" s="136"/>
      <c r="Z928" s="136"/>
      <c r="AA928" s="231"/>
    </row>
    <row r="929" spans="1:27" x14ac:dyDescent="0.2">
      <c r="A929" s="39"/>
      <c r="B929" s="39"/>
      <c r="C929" s="43"/>
      <c r="D929" s="43"/>
      <c r="E929" s="43"/>
      <c r="F929" s="132"/>
      <c r="G929" s="41" t="e">
        <f>VLOOKUP(F929,Pcode!A:B,2,FALSE)</f>
        <v>#N/A</v>
      </c>
      <c r="H929" s="41"/>
      <c r="I929" s="41" t="e">
        <f>VLOOKUP(H929,Pcode!C:D,2,FALSE)</f>
        <v>#N/A</v>
      </c>
      <c r="J929" s="41"/>
      <c r="K929" s="160"/>
      <c r="L929" s="160"/>
      <c r="M929" s="46"/>
      <c r="N929" s="136"/>
      <c r="O929" s="136"/>
      <c r="P929" s="136"/>
      <c r="Q929" s="136"/>
      <c r="R929" s="136"/>
      <c r="S929" s="136"/>
      <c r="T929" s="136"/>
      <c r="U929" s="136"/>
      <c r="V929" s="136"/>
      <c r="W929" s="136"/>
      <c r="X929" s="136"/>
      <c r="Y929" s="136"/>
      <c r="Z929" s="136"/>
      <c r="AA929" s="231"/>
    </row>
    <row r="930" spans="1:27" x14ac:dyDescent="0.2">
      <c r="A930" s="39"/>
      <c r="B930" s="39"/>
      <c r="C930" s="43"/>
      <c r="D930" s="43"/>
      <c r="E930" s="43"/>
      <c r="F930" s="132"/>
      <c r="G930" s="41" t="e">
        <f>VLOOKUP(F930,Pcode!A:B,2,FALSE)</f>
        <v>#N/A</v>
      </c>
      <c r="H930" s="41"/>
      <c r="I930" s="41" t="e">
        <f>VLOOKUP(H930,Pcode!C:D,2,FALSE)</f>
        <v>#N/A</v>
      </c>
      <c r="J930" s="41"/>
      <c r="K930" s="160"/>
      <c r="L930" s="160"/>
      <c r="M930" s="46"/>
      <c r="N930" s="136"/>
      <c r="O930" s="136"/>
      <c r="P930" s="136"/>
      <c r="Q930" s="136"/>
      <c r="R930" s="136"/>
      <c r="S930" s="136"/>
      <c r="T930" s="136"/>
      <c r="U930" s="136"/>
      <c r="V930" s="136"/>
      <c r="W930" s="136"/>
      <c r="X930" s="136"/>
      <c r="Y930" s="136"/>
      <c r="Z930" s="136"/>
      <c r="AA930" s="231"/>
    </row>
    <row r="931" spans="1:27" x14ac:dyDescent="0.2">
      <c r="A931" s="39"/>
      <c r="B931" s="39"/>
      <c r="C931" s="43"/>
      <c r="D931" s="43"/>
      <c r="E931" s="43"/>
      <c r="F931" s="132"/>
      <c r="G931" s="41" t="e">
        <f>VLOOKUP(F931,Pcode!A:B,2,FALSE)</f>
        <v>#N/A</v>
      </c>
      <c r="H931" s="41"/>
      <c r="I931" s="41" t="e">
        <f>VLOOKUP(H931,Pcode!C:D,2,FALSE)</f>
        <v>#N/A</v>
      </c>
      <c r="J931" s="41"/>
      <c r="K931" s="160"/>
      <c r="L931" s="160"/>
      <c r="M931" s="46"/>
      <c r="N931" s="136"/>
      <c r="O931" s="136"/>
      <c r="P931" s="136"/>
      <c r="Q931" s="136"/>
      <c r="R931" s="136"/>
      <c r="S931" s="136"/>
      <c r="T931" s="136"/>
      <c r="U931" s="136"/>
      <c r="V931" s="136"/>
      <c r="W931" s="136"/>
      <c r="X931" s="136"/>
      <c r="Y931" s="136"/>
      <c r="Z931" s="136"/>
      <c r="AA931" s="231"/>
    </row>
    <row r="932" spans="1:27" x14ac:dyDescent="0.2">
      <c r="A932" s="39"/>
      <c r="B932" s="39"/>
      <c r="C932" s="43"/>
      <c r="D932" s="43"/>
      <c r="E932" s="43"/>
      <c r="F932" s="132"/>
      <c r="G932" s="41" t="e">
        <f>VLOOKUP(F932,Pcode!A:B,2,FALSE)</f>
        <v>#N/A</v>
      </c>
      <c r="H932" s="41"/>
      <c r="I932" s="41" t="e">
        <f>VLOOKUP(H932,Pcode!C:D,2,FALSE)</f>
        <v>#N/A</v>
      </c>
      <c r="J932" s="41"/>
      <c r="K932" s="160"/>
      <c r="L932" s="160"/>
      <c r="M932" s="46"/>
      <c r="N932" s="136"/>
      <c r="O932" s="136"/>
      <c r="P932" s="136"/>
      <c r="Q932" s="136"/>
      <c r="R932" s="136"/>
      <c r="S932" s="136"/>
      <c r="T932" s="136"/>
      <c r="U932" s="136"/>
      <c r="V932" s="136"/>
      <c r="W932" s="136"/>
      <c r="X932" s="136"/>
      <c r="Y932" s="136"/>
      <c r="Z932" s="136"/>
      <c r="AA932" s="231"/>
    </row>
    <row r="933" spans="1:27" x14ac:dyDescent="0.2">
      <c r="A933" s="39"/>
      <c r="B933" s="39"/>
      <c r="C933" s="43"/>
      <c r="D933" s="43"/>
      <c r="E933" s="43"/>
      <c r="F933" s="132"/>
      <c r="G933" s="41" t="e">
        <f>VLOOKUP(F933,Pcode!A:B,2,FALSE)</f>
        <v>#N/A</v>
      </c>
      <c r="H933" s="41"/>
      <c r="I933" s="41" t="e">
        <f>VLOOKUP(H933,Pcode!C:D,2,FALSE)</f>
        <v>#N/A</v>
      </c>
      <c r="J933" s="41"/>
      <c r="K933" s="160"/>
      <c r="L933" s="160"/>
      <c r="M933" s="46"/>
      <c r="N933" s="136"/>
      <c r="O933" s="136"/>
      <c r="P933" s="136"/>
      <c r="Q933" s="136"/>
      <c r="R933" s="136"/>
      <c r="S933" s="136"/>
      <c r="T933" s="136"/>
      <c r="U933" s="136"/>
      <c r="V933" s="136"/>
      <c r="W933" s="136"/>
      <c r="X933" s="136"/>
      <c r="Y933" s="136"/>
      <c r="Z933" s="136"/>
      <c r="AA933" s="231"/>
    </row>
    <row r="934" spans="1:27" x14ac:dyDescent="0.2">
      <c r="A934" s="39"/>
      <c r="B934" s="39"/>
      <c r="C934" s="43"/>
      <c r="D934" s="43"/>
      <c r="E934" s="43"/>
      <c r="F934" s="132"/>
      <c r="G934" s="41" t="e">
        <f>VLOOKUP(F934,Pcode!A:B,2,FALSE)</f>
        <v>#N/A</v>
      </c>
      <c r="H934" s="41"/>
      <c r="I934" s="41" t="e">
        <f>VLOOKUP(H934,Pcode!C:D,2,FALSE)</f>
        <v>#N/A</v>
      </c>
      <c r="J934" s="41"/>
      <c r="K934" s="160"/>
      <c r="L934" s="160"/>
      <c r="M934" s="46"/>
      <c r="N934" s="136"/>
      <c r="O934" s="136"/>
      <c r="P934" s="136"/>
      <c r="Q934" s="136"/>
      <c r="R934" s="136"/>
      <c r="S934" s="136"/>
      <c r="T934" s="136"/>
      <c r="U934" s="136"/>
      <c r="V934" s="136"/>
      <c r="W934" s="136"/>
      <c r="X934" s="136"/>
      <c r="Y934" s="136"/>
      <c r="Z934" s="136"/>
      <c r="AA934" s="231"/>
    </row>
    <row r="935" spans="1:27" x14ac:dyDescent="0.2">
      <c r="A935" s="39"/>
      <c r="B935" s="39"/>
      <c r="C935" s="43"/>
      <c r="D935" s="43"/>
      <c r="E935" s="43"/>
      <c r="F935" s="132"/>
      <c r="G935" s="41" t="e">
        <f>VLOOKUP(F935,Pcode!A:B,2,FALSE)</f>
        <v>#N/A</v>
      </c>
      <c r="H935" s="41"/>
      <c r="I935" s="41" t="e">
        <f>VLOOKUP(H935,Pcode!C:D,2,FALSE)</f>
        <v>#N/A</v>
      </c>
      <c r="J935" s="41"/>
      <c r="K935" s="160"/>
      <c r="L935" s="160"/>
      <c r="M935" s="46"/>
      <c r="N935" s="136"/>
      <c r="O935" s="136"/>
      <c r="P935" s="136"/>
      <c r="Q935" s="136"/>
      <c r="R935" s="136"/>
      <c r="S935" s="136"/>
      <c r="T935" s="136"/>
      <c r="U935" s="136"/>
      <c r="V935" s="136"/>
      <c r="W935" s="136"/>
      <c r="X935" s="136"/>
      <c r="Y935" s="136"/>
      <c r="Z935" s="136"/>
      <c r="AA935" s="231"/>
    </row>
    <row r="936" spans="1:27" x14ac:dyDescent="0.2">
      <c r="A936" s="39"/>
      <c r="B936" s="39"/>
      <c r="C936" s="43"/>
      <c r="D936" s="43"/>
      <c r="E936" s="43"/>
      <c r="F936" s="132"/>
      <c r="G936" s="41" t="e">
        <f>VLOOKUP(F936,Pcode!A:B,2,FALSE)</f>
        <v>#N/A</v>
      </c>
      <c r="H936" s="41"/>
      <c r="I936" s="41" t="e">
        <f>VLOOKUP(H936,Pcode!C:D,2,FALSE)</f>
        <v>#N/A</v>
      </c>
      <c r="J936" s="41"/>
      <c r="K936" s="160"/>
      <c r="L936" s="160"/>
      <c r="M936" s="46"/>
      <c r="N936" s="136"/>
      <c r="O936" s="136"/>
      <c r="P936" s="136"/>
      <c r="Q936" s="136"/>
      <c r="R936" s="136"/>
      <c r="S936" s="136"/>
      <c r="T936" s="136"/>
      <c r="U936" s="136"/>
      <c r="V936" s="136"/>
      <c r="W936" s="136"/>
      <c r="X936" s="136"/>
      <c r="Y936" s="136"/>
      <c r="Z936" s="136"/>
      <c r="AA936" s="231"/>
    </row>
    <row r="937" spans="1:27" x14ac:dyDescent="0.2">
      <c r="A937" s="39"/>
      <c r="B937" s="39"/>
      <c r="C937" s="43"/>
      <c r="D937" s="43"/>
      <c r="E937" s="43"/>
      <c r="F937" s="132"/>
      <c r="G937" s="41" t="e">
        <f>VLOOKUP(F937,Pcode!A:B,2,FALSE)</f>
        <v>#N/A</v>
      </c>
      <c r="H937" s="41"/>
      <c r="I937" s="41" t="e">
        <f>VLOOKUP(H937,Pcode!C:D,2,FALSE)</f>
        <v>#N/A</v>
      </c>
      <c r="J937" s="41"/>
      <c r="K937" s="160"/>
      <c r="L937" s="160"/>
      <c r="M937" s="46"/>
      <c r="N937" s="136"/>
      <c r="O937" s="136"/>
      <c r="P937" s="136"/>
      <c r="Q937" s="136"/>
      <c r="R937" s="136"/>
      <c r="S937" s="136"/>
      <c r="T937" s="136"/>
      <c r="U937" s="136"/>
      <c r="V937" s="136"/>
      <c r="W937" s="136"/>
      <c r="X937" s="136"/>
      <c r="Y937" s="136"/>
      <c r="Z937" s="136"/>
      <c r="AA937" s="231"/>
    </row>
    <row r="938" spans="1:27" x14ac:dyDescent="0.2">
      <c r="A938" s="39"/>
      <c r="B938" s="39"/>
      <c r="C938" s="43"/>
      <c r="D938" s="43"/>
      <c r="E938" s="43"/>
      <c r="F938" s="132"/>
      <c r="G938" s="41" t="e">
        <f>VLOOKUP(F938,Pcode!A:B,2,FALSE)</f>
        <v>#N/A</v>
      </c>
      <c r="H938" s="41"/>
      <c r="I938" s="41" t="e">
        <f>VLOOKUP(H938,Pcode!C:D,2,FALSE)</f>
        <v>#N/A</v>
      </c>
      <c r="J938" s="41"/>
      <c r="K938" s="160"/>
      <c r="L938" s="160"/>
      <c r="M938" s="46"/>
      <c r="N938" s="136"/>
      <c r="O938" s="136"/>
      <c r="P938" s="136"/>
      <c r="Q938" s="136"/>
      <c r="R938" s="136"/>
      <c r="S938" s="136"/>
      <c r="T938" s="136"/>
      <c r="U938" s="136"/>
      <c r="V938" s="136"/>
      <c r="W938" s="136"/>
      <c r="X938" s="136"/>
      <c r="Y938" s="136"/>
      <c r="Z938" s="136"/>
      <c r="AA938" s="231"/>
    </row>
    <row r="939" spans="1:27" x14ac:dyDescent="0.2">
      <c r="A939" s="39"/>
      <c r="B939" s="39"/>
      <c r="C939" s="43"/>
      <c r="D939" s="43"/>
      <c r="E939" s="43"/>
      <c r="F939" s="132"/>
      <c r="G939" s="41" t="e">
        <f>VLOOKUP(F939,Pcode!A:B,2,FALSE)</f>
        <v>#N/A</v>
      </c>
      <c r="H939" s="41"/>
      <c r="I939" s="41" t="e">
        <f>VLOOKUP(H939,Pcode!C:D,2,FALSE)</f>
        <v>#N/A</v>
      </c>
      <c r="J939" s="41"/>
      <c r="K939" s="160"/>
      <c r="L939" s="160"/>
      <c r="M939" s="46"/>
      <c r="N939" s="136"/>
      <c r="O939" s="136"/>
      <c r="P939" s="136"/>
      <c r="Q939" s="136"/>
      <c r="R939" s="136"/>
      <c r="S939" s="136"/>
      <c r="T939" s="136"/>
      <c r="U939" s="136"/>
      <c r="V939" s="136"/>
      <c r="W939" s="136"/>
      <c r="X939" s="136"/>
      <c r="Y939" s="136"/>
      <c r="Z939" s="136"/>
      <c r="AA939" s="231"/>
    </row>
    <row r="940" spans="1:27" x14ac:dyDescent="0.2">
      <c r="A940" s="39"/>
      <c r="B940" s="39"/>
      <c r="C940" s="43"/>
      <c r="D940" s="43"/>
      <c r="E940" s="43"/>
      <c r="F940" s="132"/>
      <c r="G940" s="41" t="e">
        <f>VLOOKUP(F940,Pcode!A:B,2,FALSE)</f>
        <v>#N/A</v>
      </c>
      <c r="H940" s="41"/>
      <c r="I940" s="41" t="e">
        <f>VLOOKUP(H940,Pcode!C:D,2,FALSE)</f>
        <v>#N/A</v>
      </c>
      <c r="J940" s="41"/>
      <c r="K940" s="160"/>
      <c r="L940" s="160"/>
      <c r="M940" s="46"/>
      <c r="N940" s="136"/>
      <c r="O940" s="136"/>
      <c r="P940" s="136"/>
      <c r="Q940" s="136"/>
      <c r="R940" s="136"/>
      <c r="S940" s="136"/>
      <c r="T940" s="136"/>
      <c r="U940" s="136"/>
      <c r="V940" s="136"/>
      <c r="W940" s="136"/>
      <c r="X940" s="136"/>
      <c r="Y940" s="136"/>
      <c r="Z940" s="136"/>
      <c r="AA940" s="231"/>
    </row>
    <row r="941" spans="1:27" x14ac:dyDescent="0.2">
      <c r="A941" s="39"/>
      <c r="B941" s="39"/>
      <c r="C941" s="43"/>
      <c r="D941" s="43"/>
      <c r="E941" s="43"/>
      <c r="F941" s="132"/>
      <c r="G941" s="41" t="e">
        <f>VLOOKUP(F941,Pcode!A:B,2,FALSE)</f>
        <v>#N/A</v>
      </c>
      <c r="H941" s="41"/>
      <c r="I941" s="41" t="e">
        <f>VLOOKUP(H941,Pcode!C:D,2,FALSE)</f>
        <v>#N/A</v>
      </c>
      <c r="J941" s="41"/>
      <c r="K941" s="160"/>
      <c r="L941" s="160"/>
      <c r="M941" s="46"/>
      <c r="N941" s="136"/>
      <c r="O941" s="136"/>
      <c r="P941" s="136"/>
      <c r="Q941" s="136"/>
      <c r="R941" s="136"/>
      <c r="S941" s="136"/>
      <c r="T941" s="136"/>
      <c r="U941" s="136"/>
      <c r="V941" s="136"/>
      <c r="W941" s="136"/>
      <c r="X941" s="136"/>
      <c r="Y941" s="136"/>
      <c r="Z941" s="136"/>
      <c r="AA941" s="231"/>
    </row>
    <row r="942" spans="1:27" x14ac:dyDescent="0.2">
      <c r="A942" s="39"/>
      <c r="B942" s="39"/>
      <c r="C942" s="43"/>
      <c r="D942" s="43"/>
      <c r="E942" s="43"/>
      <c r="F942" s="132"/>
      <c r="G942" s="41" t="e">
        <f>VLOOKUP(F942,Pcode!A:B,2,FALSE)</f>
        <v>#N/A</v>
      </c>
      <c r="H942" s="41"/>
      <c r="I942" s="41" t="e">
        <f>VLOOKUP(H942,Pcode!C:D,2,FALSE)</f>
        <v>#N/A</v>
      </c>
      <c r="J942" s="41"/>
      <c r="K942" s="160"/>
      <c r="L942" s="160"/>
      <c r="M942" s="46"/>
      <c r="N942" s="136"/>
      <c r="O942" s="136"/>
      <c r="P942" s="136"/>
      <c r="Q942" s="136"/>
      <c r="R942" s="136"/>
      <c r="S942" s="136"/>
      <c r="T942" s="136"/>
      <c r="U942" s="136"/>
      <c r="V942" s="136"/>
      <c r="W942" s="136"/>
      <c r="X942" s="136"/>
      <c r="Y942" s="136"/>
      <c r="Z942" s="136"/>
      <c r="AA942" s="231"/>
    </row>
    <row r="943" spans="1:27" x14ac:dyDescent="0.2">
      <c r="A943" s="39"/>
      <c r="B943" s="39"/>
      <c r="C943" s="43"/>
      <c r="D943" s="43"/>
      <c r="E943" s="43"/>
      <c r="F943" s="132"/>
      <c r="G943" s="41" t="e">
        <f>VLOOKUP(F943,Pcode!A:B,2,FALSE)</f>
        <v>#N/A</v>
      </c>
      <c r="H943" s="41"/>
      <c r="I943" s="41" t="e">
        <f>VLOOKUP(H943,Pcode!C:D,2,FALSE)</f>
        <v>#N/A</v>
      </c>
      <c r="J943" s="41"/>
      <c r="K943" s="160"/>
      <c r="L943" s="160"/>
      <c r="M943" s="46"/>
      <c r="N943" s="136"/>
      <c r="O943" s="136"/>
      <c r="P943" s="136"/>
      <c r="Q943" s="136"/>
      <c r="R943" s="136"/>
      <c r="S943" s="136"/>
      <c r="T943" s="136"/>
      <c r="U943" s="136"/>
      <c r="V943" s="136"/>
      <c r="W943" s="136"/>
      <c r="X943" s="136"/>
      <c r="Y943" s="136"/>
      <c r="Z943" s="136"/>
      <c r="AA943" s="231"/>
    </row>
    <row r="944" spans="1:27" x14ac:dyDescent="0.2">
      <c r="A944" s="39"/>
      <c r="B944" s="39"/>
      <c r="C944" s="43"/>
      <c r="D944" s="43"/>
      <c r="E944" s="43"/>
      <c r="F944" s="132"/>
      <c r="G944" s="41" t="e">
        <f>VLOOKUP(F944,Pcode!A:B,2,FALSE)</f>
        <v>#N/A</v>
      </c>
      <c r="H944" s="41"/>
      <c r="I944" s="41" t="e">
        <f>VLOOKUP(H944,Pcode!C:D,2,FALSE)</f>
        <v>#N/A</v>
      </c>
      <c r="J944" s="41"/>
      <c r="K944" s="160"/>
      <c r="L944" s="160"/>
      <c r="M944" s="46"/>
      <c r="N944" s="136"/>
      <c r="O944" s="136"/>
      <c r="P944" s="136"/>
      <c r="Q944" s="136"/>
      <c r="R944" s="136"/>
      <c r="S944" s="136"/>
      <c r="T944" s="136"/>
      <c r="U944" s="136"/>
      <c r="V944" s="136"/>
      <c r="W944" s="136"/>
      <c r="X944" s="136"/>
      <c r="Y944" s="136"/>
      <c r="Z944" s="136"/>
      <c r="AA944" s="231"/>
    </row>
    <row r="945" spans="1:27" x14ac:dyDescent="0.2">
      <c r="A945" s="39"/>
      <c r="B945" s="39"/>
      <c r="C945" s="43"/>
      <c r="D945" s="43"/>
      <c r="E945" s="43"/>
      <c r="F945" s="132"/>
      <c r="G945" s="41" t="e">
        <f>VLOOKUP(F945,Pcode!A:B,2,FALSE)</f>
        <v>#N/A</v>
      </c>
      <c r="H945" s="41"/>
      <c r="I945" s="41" t="e">
        <f>VLOOKUP(H945,Pcode!C:D,2,FALSE)</f>
        <v>#N/A</v>
      </c>
      <c r="J945" s="41"/>
      <c r="K945" s="160"/>
      <c r="L945" s="160"/>
      <c r="M945" s="46"/>
      <c r="N945" s="136"/>
      <c r="O945" s="136"/>
      <c r="P945" s="136"/>
      <c r="Q945" s="136"/>
      <c r="R945" s="136"/>
      <c r="S945" s="136"/>
      <c r="T945" s="136"/>
      <c r="U945" s="136"/>
      <c r="V945" s="136"/>
      <c r="W945" s="136"/>
      <c r="X945" s="136"/>
      <c r="Y945" s="136"/>
      <c r="Z945" s="136"/>
      <c r="AA945" s="231"/>
    </row>
    <row r="946" spans="1:27" x14ac:dyDescent="0.2">
      <c r="A946" s="39"/>
      <c r="B946" s="39"/>
      <c r="C946" s="43"/>
      <c r="D946" s="43"/>
      <c r="E946" s="43"/>
      <c r="F946" s="132"/>
      <c r="G946" s="41" t="e">
        <f>VLOOKUP(F946,Pcode!A:B,2,FALSE)</f>
        <v>#N/A</v>
      </c>
      <c r="H946" s="41"/>
      <c r="I946" s="41" t="e">
        <f>VLOOKUP(H946,Pcode!C:D,2,FALSE)</f>
        <v>#N/A</v>
      </c>
      <c r="J946" s="41"/>
      <c r="K946" s="160"/>
      <c r="L946" s="160"/>
      <c r="M946" s="46"/>
      <c r="N946" s="136"/>
      <c r="O946" s="136"/>
      <c r="P946" s="136"/>
      <c r="Q946" s="136"/>
      <c r="R946" s="136"/>
      <c r="S946" s="136"/>
      <c r="T946" s="136"/>
      <c r="U946" s="136"/>
      <c r="V946" s="136"/>
      <c r="W946" s="136"/>
      <c r="X946" s="136"/>
      <c r="Y946" s="136"/>
      <c r="Z946" s="136"/>
      <c r="AA946" s="231"/>
    </row>
    <row r="947" spans="1:27" x14ac:dyDescent="0.2">
      <c r="A947" s="39"/>
      <c r="B947" s="39"/>
      <c r="C947" s="43"/>
      <c r="D947" s="43"/>
      <c r="E947" s="43"/>
      <c r="F947" s="132"/>
      <c r="G947" s="41" t="e">
        <f>VLOOKUP(F947,Pcode!A:B,2,FALSE)</f>
        <v>#N/A</v>
      </c>
      <c r="H947" s="41"/>
      <c r="I947" s="41" t="e">
        <f>VLOOKUP(H947,Pcode!C:D,2,FALSE)</f>
        <v>#N/A</v>
      </c>
      <c r="J947" s="41"/>
      <c r="K947" s="160"/>
      <c r="L947" s="160"/>
      <c r="M947" s="46"/>
      <c r="N947" s="136"/>
      <c r="O947" s="136"/>
      <c r="P947" s="136"/>
      <c r="Q947" s="136"/>
      <c r="R947" s="136"/>
      <c r="S947" s="136"/>
      <c r="T947" s="136"/>
      <c r="U947" s="136"/>
      <c r="V947" s="136"/>
      <c r="W947" s="136"/>
      <c r="X947" s="136"/>
      <c r="Y947" s="136"/>
      <c r="Z947" s="136"/>
      <c r="AA947" s="231"/>
    </row>
    <row r="948" spans="1:27" x14ac:dyDescent="0.2">
      <c r="A948" s="39"/>
      <c r="B948" s="39"/>
      <c r="C948" s="43"/>
      <c r="D948" s="43"/>
      <c r="E948" s="43"/>
      <c r="F948" s="132"/>
      <c r="G948" s="41" t="e">
        <f>VLOOKUP(F948,Pcode!A:B,2,FALSE)</f>
        <v>#N/A</v>
      </c>
      <c r="H948" s="41"/>
      <c r="I948" s="41" t="e">
        <f>VLOOKUP(H948,Pcode!C:D,2,FALSE)</f>
        <v>#N/A</v>
      </c>
      <c r="J948" s="41"/>
      <c r="K948" s="160"/>
      <c r="L948" s="160"/>
      <c r="M948" s="46"/>
      <c r="N948" s="136"/>
      <c r="O948" s="136"/>
      <c r="P948" s="136"/>
      <c r="Q948" s="136"/>
      <c r="R948" s="136"/>
      <c r="S948" s="136"/>
      <c r="T948" s="136"/>
      <c r="U948" s="136"/>
      <c r="V948" s="136"/>
      <c r="W948" s="136"/>
      <c r="X948" s="136"/>
      <c r="Y948" s="136"/>
      <c r="Z948" s="136"/>
      <c r="AA948" s="231"/>
    </row>
    <row r="949" spans="1:27" x14ac:dyDescent="0.2">
      <c r="A949" s="39"/>
      <c r="B949" s="39"/>
      <c r="C949" s="43"/>
      <c r="D949" s="43"/>
      <c r="E949" s="43"/>
      <c r="F949" s="132"/>
      <c r="G949" s="41" t="e">
        <f>VLOOKUP(F949,Pcode!A:B,2,FALSE)</f>
        <v>#N/A</v>
      </c>
      <c r="H949" s="41"/>
      <c r="I949" s="41" t="e">
        <f>VLOOKUP(H949,Pcode!C:D,2,FALSE)</f>
        <v>#N/A</v>
      </c>
      <c r="J949" s="41"/>
      <c r="K949" s="160"/>
      <c r="L949" s="160"/>
      <c r="M949" s="46"/>
      <c r="N949" s="136"/>
      <c r="O949" s="136"/>
      <c r="P949" s="136"/>
      <c r="Q949" s="136"/>
      <c r="R949" s="136"/>
      <c r="S949" s="136"/>
      <c r="T949" s="136"/>
      <c r="U949" s="136"/>
      <c r="V949" s="136"/>
      <c r="W949" s="136"/>
      <c r="X949" s="136"/>
      <c r="Y949" s="136"/>
      <c r="Z949" s="136"/>
      <c r="AA949" s="231"/>
    </row>
    <row r="950" spans="1:27" x14ac:dyDescent="0.2">
      <c r="A950" s="39"/>
      <c r="B950" s="39"/>
      <c r="C950" s="43"/>
      <c r="D950" s="43"/>
      <c r="E950" s="43"/>
      <c r="F950" s="132"/>
      <c r="G950" s="41" t="e">
        <f>VLOOKUP(F950,Pcode!A:B,2,FALSE)</f>
        <v>#N/A</v>
      </c>
      <c r="H950" s="41"/>
      <c r="I950" s="41" t="e">
        <f>VLOOKUP(H950,Pcode!C:D,2,FALSE)</f>
        <v>#N/A</v>
      </c>
      <c r="J950" s="41"/>
      <c r="K950" s="160"/>
      <c r="L950" s="160"/>
      <c r="M950" s="46"/>
      <c r="N950" s="136"/>
      <c r="O950" s="136"/>
      <c r="P950" s="136"/>
      <c r="Q950" s="136"/>
      <c r="R950" s="136"/>
      <c r="S950" s="136"/>
      <c r="T950" s="136"/>
      <c r="U950" s="136"/>
      <c r="V950" s="136"/>
      <c r="W950" s="136"/>
      <c r="X950" s="136"/>
      <c r="Y950" s="136"/>
      <c r="Z950" s="136"/>
      <c r="AA950" s="231"/>
    </row>
    <row r="951" spans="1:27" x14ac:dyDescent="0.2">
      <c r="A951" s="39"/>
      <c r="B951" s="39"/>
      <c r="C951" s="43"/>
      <c r="D951" s="43"/>
      <c r="E951" s="43"/>
      <c r="F951" s="132"/>
      <c r="G951" s="41" t="e">
        <f>VLOOKUP(F951,Pcode!A:B,2,FALSE)</f>
        <v>#N/A</v>
      </c>
      <c r="H951" s="41"/>
      <c r="I951" s="41" t="e">
        <f>VLOOKUP(H951,Pcode!C:D,2,FALSE)</f>
        <v>#N/A</v>
      </c>
      <c r="J951" s="41"/>
      <c r="K951" s="160"/>
      <c r="L951" s="160"/>
      <c r="M951" s="46"/>
      <c r="N951" s="136"/>
      <c r="O951" s="136"/>
      <c r="P951" s="136"/>
      <c r="Q951" s="136"/>
      <c r="R951" s="136"/>
      <c r="S951" s="136"/>
      <c r="T951" s="136"/>
      <c r="U951" s="136"/>
      <c r="V951" s="136"/>
      <c r="W951" s="136"/>
      <c r="X951" s="136"/>
      <c r="Y951" s="136"/>
      <c r="Z951" s="136"/>
      <c r="AA951" s="231"/>
    </row>
    <row r="952" spans="1:27" x14ac:dyDescent="0.2">
      <c r="A952" s="39"/>
      <c r="B952" s="39"/>
      <c r="C952" s="43"/>
      <c r="D952" s="43"/>
      <c r="E952" s="43"/>
      <c r="F952" s="132"/>
      <c r="G952" s="41" t="e">
        <f>VLOOKUP(F952,Pcode!A:B,2,FALSE)</f>
        <v>#N/A</v>
      </c>
      <c r="H952" s="41"/>
      <c r="I952" s="41" t="e">
        <f>VLOOKUP(H952,Pcode!C:D,2,FALSE)</f>
        <v>#N/A</v>
      </c>
      <c r="J952" s="41"/>
      <c r="K952" s="160"/>
      <c r="L952" s="160"/>
      <c r="M952" s="46"/>
      <c r="N952" s="136"/>
      <c r="O952" s="136"/>
      <c r="P952" s="136"/>
      <c r="Q952" s="136"/>
      <c r="R952" s="136"/>
      <c r="S952" s="136"/>
      <c r="T952" s="136"/>
      <c r="U952" s="136"/>
      <c r="V952" s="136"/>
      <c r="W952" s="136"/>
      <c r="X952" s="136"/>
      <c r="Y952" s="136"/>
      <c r="Z952" s="136"/>
      <c r="AA952" s="231"/>
    </row>
    <row r="953" spans="1:27" x14ac:dyDescent="0.2">
      <c r="A953" s="39"/>
      <c r="B953" s="39"/>
      <c r="C953" s="43"/>
      <c r="D953" s="43"/>
      <c r="E953" s="43"/>
      <c r="F953" s="132"/>
      <c r="G953" s="41" t="e">
        <f>VLOOKUP(F953,Pcode!A:B,2,FALSE)</f>
        <v>#N/A</v>
      </c>
      <c r="H953" s="41"/>
      <c r="I953" s="41" t="e">
        <f>VLOOKUP(H953,Pcode!C:D,2,FALSE)</f>
        <v>#N/A</v>
      </c>
      <c r="J953" s="41"/>
      <c r="K953" s="160"/>
      <c r="L953" s="160"/>
      <c r="M953" s="46"/>
      <c r="N953" s="136"/>
      <c r="O953" s="136"/>
      <c r="P953" s="136"/>
      <c r="Q953" s="136"/>
      <c r="R953" s="136"/>
      <c r="S953" s="136"/>
      <c r="T953" s="136"/>
      <c r="U953" s="136"/>
      <c r="V953" s="136"/>
      <c r="W953" s="136"/>
      <c r="X953" s="136"/>
      <c r="Y953" s="136"/>
      <c r="Z953" s="136"/>
      <c r="AA953" s="231"/>
    </row>
    <row r="954" spans="1:27" x14ac:dyDescent="0.2">
      <c r="A954" s="39"/>
      <c r="B954" s="39"/>
      <c r="C954" s="43"/>
      <c r="D954" s="43"/>
      <c r="E954" s="43"/>
      <c r="F954" s="132"/>
      <c r="G954" s="41" t="e">
        <f>VLOOKUP(F954,Pcode!A:B,2,FALSE)</f>
        <v>#N/A</v>
      </c>
      <c r="H954" s="41"/>
      <c r="I954" s="41" t="e">
        <f>VLOOKUP(H954,Pcode!C:D,2,FALSE)</f>
        <v>#N/A</v>
      </c>
      <c r="J954" s="41"/>
      <c r="K954" s="160"/>
      <c r="L954" s="160"/>
      <c r="M954" s="46"/>
      <c r="N954" s="136"/>
      <c r="O954" s="136"/>
      <c r="P954" s="136"/>
      <c r="Q954" s="136"/>
      <c r="R954" s="136"/>
      <c r="S954" s="136"/>
      <c r="T954" s="136"/>
      <c r="U954" s="136"/>
      <c r="V954" s="136"/>
      <c r="W954" s="136"/>
      <c r="X954" s="136"/>
      <c r="Y954" s="136"/>
      <c r="Z954" s="136"/>
      <c r="AA954" s="231"/>
    </row>
    <row r="955" spans="1:27" x14ac:dyDescent="0.2">
      <c r="A955" s="39"/>
      <c r="B955" s="39"/>
      <c r="C955" s="43"/>
      <c r="D955" s="43"/>
      <c r="E955" s="43"/>
      <c r="F955" s="132"/>
      <c r="G955" s="41" t="e">
        <f>VLOOKUP(F955,Pcode!A:B,2,FALSE)</f>
        <v>#N/A</v>
      </c>
      <c r="H955" s="41"/>
      <c r="I955" s="41" t="e">
        <f>VLOOKUP(H955,Pcode!C:D,2,FALSE)</f>
        <v>#N/A</v>
      </c>
      <c r="J955" s="41"/>
      <c r="K955" s="160"/>
      <c r="L955" s="160"/>
      <c r="M955" s="46"/>
      <c r="N955" s="136"/>
      <c r="O955" s="136"/>
      <c r="P955" s="136"/>
      <c r="Q955" s="136"/>
      <c r="R955" s="136"/>
      <c r="S955" s="136"/>
      <c r="T955" s="136"/>
      <c r="U955" s="136"/>
      <c r="V955" s="136"/>
      <c r="W955" s="136"/>
      <c r="X955" s="136"/>
      <c r="Y955" s="136"/>
      <c r="Z955" s="136"/>
      <c r="AA955" s="231"/>
    </row>
    <row r="956" spans="1:27" x14ac:dyDescent="0.2">
      <c r="A956" s="39"/>
      <c r="B956" s="39"/>
      <c r="C956" s="43"/>
      <c r="D956" s="43"/>
      <c r="E956" s="43"/>
      <c r="F956" s="132"/>
      <c r="G956" s="41" t="e">
        <f>VLOOKUP(F956,Pcode!A:B,2,FALSE)</f>
        <v>#N/A</v>
      </c>
      <c r="H956" s="41"/>
      <c r="I956" s="41" t="e">
        <f>VLOOKUP(H956,Pcode!C:D,2,FALSE)</f>
        <v>#N/A</v>
      </c>
      <c r="J956" s="41"/>
      <c r="K956" s="160"/>
      <c r="L956" s="160"/>
      <c r="M956" s="46"/>
      <c r="N956" s="136"/>
      <c r="O956" s="136"/>
      <c r="P956" s="136"/>
      <c r="Q956" s="136"/>
      <c r="R956" s="136"/>
      <c r="S956" s="136"/>
      <c r="T956" s="136"/>
      <c r="U956" s="136"/>
      <c r="V956" s="136"/>
      <c r="W956" s="136"/>
      <c r="X956" s="136"/>
      <c r="Y956" s="136"/>
      <c r="Z956" s="136"/>
      <c r="AA956" s="231"/>
    </row>
    <row r="957" spans="1:27" x14ac:dyDescent="0.2">
      <c r="A957" s="39"/>
      <c r="B957" s="39"/>
      <c r="C957" s="43"/>
      <c r="D957" s="43"/>
      <c r="E957" s="43"/>
      <c r="F957" s="132"/>
      <c r="G957" s="41" t="e">
        <f>VLOOKUP(F957,Pcode!A:B,2,FALSE)</f>
        <v>#N/A</v>
      </c>
      <c r="H957" s="41"/>
      <c r="I957" s="41" t="e">
        <f>VLOOKUP(H957,Pcode!C:D,2,FALSE)</f>
        <v>#N/A</v>
      </c>
      <c r="J957" s="41"/>
      <c r="K957" s="160"/>
      <c r="L957" s="160"/>
      <c r="M957" s="46"/>
      <c r="N957" s="136"/>
      <c r="O957" s="136"/>
      <c r="P957" s="136"/>
      <c r="Q957" s="136"/>
      <c r="R957" s="136"/>
      <c r="S957" s="136"/>
      <c r="T957" s="136"/>
      <c r="U957" s="136"/>
      <c r="V957" s="136"/>
      <c r="W957" s="136"/>
      <c r="X957" s="136"/>
      <c r="Y957" s="136"/>
      <c r="Z957" s="136"/>
      <c r="AA957" s="231"/>
    </row>
    <row r="958" spans="1:27" x14ac:dyDescent="0.2">
      <c r="A958" s="39"/>
      <c r="B958" s="39"/>
      <c r="C958" s="43"/>
      <c r="D958" s="43"/>
      <c r="E958" s="43"/>
      <c r="F958" s="132"/>
      <c r="G958" s="41" t="e">
        <f>VLOOKUP(F958,Pcode!A:B,2,FALSE)</f>
        <v>#N/A</v>
      </c>
      <c r="H958" s="41"/>
      <c r="I958" s="41" t="e">
        <f>VLOOKUP(H958,Pcode!C:D,2,FALSE)</f>
        <v>#N/A</v>
      </c>
      <c r="J958" s="41"/>
      <c r="K958" s="160"/>
      <c r="L958" s="160"/>
      <c r="M958" s="46"/>
      <c r="N958" s="136"/>
      <c r="O958" s="136"/>
      <c r="P958" s="136"/>
      <c r="Q958" s="136"/>
      <c r="R958" s="136"/>
      <c r="S958" s="136"/>
      <c r="T958" s="136"/>
      <c r="U958" s="136"/>
      <c r="V958" s="136"/>
      <c r="W958" s="136"/>
      <c r="X958" s="136"/>
      <c r="Y958" s="136"/>
      <c r="Z958" s="136"/>
      <c r="AA958" s="231"/>
    </row>
    <row r="959" spans="1:27" x14ac:dyDescent="0.2">
      <c r="A959" s="39"/>
      <c r="B959" s="39"/>
      <c r="C959" s="43"/>
      <c r="D959" s="43"/>
      <c r="E959" s="43"/>
      <c r="F959" s="132"/>
      <c r="G959" s="41" t="e">
        <f>VLOOKUP(F959,Pcode!A:B,2,FALSE)</f>
        <v>#N/A</v>
      </c>
      <c r="H959" s="41"/>
      <c r="I959" s="41" t="e">
        <f>VLOOKUP(H959,Pcode!C:D,2,FALSE)</f>
        <v>#N/A</v>
      </c>
      <c r="J959" s="41"/>
      <c r="K959" s="160"/>
      <c r="L959" s="160"/>
      <c r="M959" s="46"/>
      <c r="N959" s="136"/>
      <c r="O959" s="136"/>
      <c r="P959" s="136"/>
      <c r="Q959" s="136"/>
      <c r="R959" s="136"/>
      <c r="S959" s="136"/>
      <c r="T959" s="136"/>
      <c r="U959" s="136"/>
      <c r="V959" s="136"/>
      <c r="W959" s="136"/>
      <c r="X959" s="136"/>
      <c r="Y959" s="136"/>
      <c r="Z959" s="136"/>
      <c r="AA959" s="231"/>
    </row>
    <row r="960" spans="1:27" x14ac:dyDescent="0.2">
      <c r="A960" s="39"/>
      <c r="B960" s="39"/>
      <c r="C960" s="43"/>
      <c r="D960" s="43"/>
      <c r="E960" s="43"/>
      <c r="F960" s="132"/>
      <c r="G960" s="41" t="e">
        <f>VLOOKUP(F960,Pcode!A:B,2,FALSE)</f>
        <v>#N/A</v>
      </c>
      <c r="H960" s="41"/>
      <c r="I960" s="41" t="e">
        <f>VLOOKUP(H960,Pcode!C:D,2,FALSE)</f>
        <v>#N/A</v>
      </c>
      <c r="J960" s="41"/>
      <c r="K960" s="160"/>
      <c r="L960" s="160"/>
      <c r="M960" s="46"/>
      <c r="N960" s="136"/>
      <c r="O960" s="136"/>
      <c r="P960" s="136"/>
      <c r="Q960" s="136"/>
      <c r="R960" s="136"/>
      <c r="S960" s="136"/>
      <c r="T960" s="136"/>
      <c r="U960" s="136"/>
      <c r="V960" s="136"/>
      <c r="W960" s="136"/>
      <c r="X960" s="136"/>
      <c r="Y960" s="136"/>
      <c r="Z960" s="136"/>
      <c r="AA960" s="231"/>
    </row>
    <row r="961" spans="1:27" x14ac:dyDescent="0.2">
      <c r="A961" s="39"/>
      <c r="B961" s="39"/>
      <c r="C961" s="43"/>
      <c r="D961" s="43"/>
      <c r="E961" s="43"/>
      <c r="F961" s="132"/>
      <c r="G961" s="41" t="e">
        <f>VLOOKUP(F961,Pcode!A:B,2,FALSE)</f>
        <v>#N/A</v>
      </c>
      <c r="H961" s="41"/>
      <c r="I961" s="41" t="e">
        <f>VLOOKUP(H961,Pcode!C:D,2,FALSE)</f>
        <v>#N/A</v>
      </c>
      <c r="J961" s="41"/>
      <c r="K961" s="160"/>
      <c r="L961" s="160"/>
      <c r="M961" s="46"/>
      <c r="N961" s="136"/>
      <c r="O961" s="136"/>
      <c r="P961" s="136"/>
      <c r="Q961" s="136"/>
      <c r="R961" s="136"/>
      <c r="S961" s="136"/>
      <c r="T961" s="136"/>
      <c r="U961" s="136"/>
      <c r="V961" s="136"/>
      <c r="W961" s="136"/>
      <c r="X961" s="136"/>
      <c r="Y961" s="136"/>
      <c r="Z961" s="136"/>
      <c r="AA961" s="231"/>
    </row>
    <row r="962" spans="1:27" x14ac:dyDescent="0.2">
      <c r="A962" s="39"/>
      <c r="B962" s="39"/>
      <c r="C962" s="43"/>
      <c r="D962" s="43"/>
      <c r="E962" s="43"/>
      <c r="F962" s="132"/>
      <c r="G962" s="41" t="e">
        <f>VLOOKUP(F962,Pcode!A:B,2,FALSE)</f>
        <v>#N/A</v>
      </c>
      <c r="H962" s="41"/>
      <c r="I962" s="41" t="e">
        <f>VLOOKUP(H962,Pcode!C:D,2,FALSE)</f>
        <v>#N/A</v>
      </c>
      <c r="J962" s="41"/>
      <c r="K962" s="160"/>
      <c r="L962" s="160"/>
      <c r="M962" s="46"/>
      <c r="N962" s="136"/>
      <c r="O962" s="136"/>
      <c r="P962" s="136"/>
      <c r="Q962" s="136"/>
      <c r="R962" s="136"/>
      <c r="S962" s="136"/>
      <c r="T962" s="136"/>
      <c r="U962" s="136"/>
      <c r="V962" s="136"/>
      <c r="W962" s="136"/>
      <c r="X962" s="136"/>
      <c r="Y962" s="136"/>
      <c r="Z962" s="136"/>
      <c r="AA962" s="231"/>
    </row>
    <row r="963" spans="1:27" x14ac:dyDescent="0.2">
      <c r="A963" s="39"/>
      <c r="B963" s="39"/>
      <c r="C963" s="43"/>
      <c r="D963" s="43"/>
      <c r="E963" s="43"/>
      <c r="F963" s="132"/>
      <c r="G963" s="41" t="e">
        <f>VLOOKUP(F963,Pcode!A:B,2,FALSE)</f>
        <v>#N/A</v>
      </c>
      <c r="H963" s="41"/>
      <c r="I963" s="41" t="e">
        <f>VLOOKUP(H963,Pcode!C:D,2,FALSE)</f>
        <v>#N/A</v>
      </c>
      <c r="J963" s="41"/>
      <c r="K963" s="160"/>
      <c r="L963" s="160"/>
      <c r="M963" s="46"/>
      <c r="N963" s="136"/>
      <c r="O963" s="136"/>
      <c r="P963" s="136"/>
      <c r="Q963" s="136"/>
      <c r="R963" s="136"/>
      <c r="S963" s="136"/>
      <c r="T963" s="136"/>
      <c r="U963" s="136"/>
      <c r="V963" s="136"/>
      <c r="W963" s="136"/>
      <c r="X963" s="136"/>
      <c r="Y963" s="136"/>
      <c r="Z963" s="136"/>
      <c r="AA963" s="231"/>
    </row>
    <row r="964" spans="1:27" x14ac:dyDescent="0.2">
      <c r="A964" s="39"/>
      <c r="B964" s="39"/>
      <c r="C964" s="43"/>
      <c r="D964" s="43"/>
      <c r="E964" s="43"/>
      <c r="F964" s="132"/>
      <c r="G964" s="41" t="e">
        <f>VLOOKUP(F964,Pcode!A:B,2,FALSE)</f>
        <v>#N/A</v>
      </c>
      <c r="H964" s="41"/>
      <c r="I964" s="41" t="e">
        <f>VLOOKUP(H964,Pcode!C:D,2,FALSE)</f>
        <v>#N/A</v>
      </c>
      <c r="J964" s="41"/>
      <c r="K964" s="160"/>
      <c r="L964" s="160"/>
      <c r="M964" s="46"/>
      <c r="N964" s="136"/>
      <c r="O964" s="136"/>
      <c r="P964" s="136"/>
      <c r="Q964" s="136"/>
      <c r="R964" s="136"/>
      <c r="S964" s="136"/>
      <c r="T964" s="136"/>
      <c r="U964" s="136"/>
      <c r="V964" s="136"/>
      <c r="W964" s="136"/>
      <c r="X964" s="136"/>
      <c r="Y964" s="136"/>
      <c r="Z964" s="136"/>
      <c r="AA964" s="231"/>
    </row>
    <row r="965" spans="1:27" x14ac:dyDescent="0.2">
      <c r="A965" s="39"/>
      <c r="B965" s="39"/>
      <c r="C965" s="43"/>
      <c r="D965" s="43"/>
      <c r="E965" s="43"/>
      <c r="F965" s="132"/>
      <c r="G965" s="41" t="e">
        <f>VLOOKUP(F965,Pcode!A:B,2,FALSE)</f>
        <v>#N/A</v>
      </c>
      <c r="H965" s="41"/>
      <c r="I965" s="41" t="e">
        <f>VLOOKUP(H965,Pcode!C:D,2,FALSE)</f>
        <v>#N/A</v>
      </c>
      <c r="J965" s="41"/>
      <c r="K965" s="160"/>
      <c r="L965" s="160"/>
      <c r="M965" s="46"/>
      <c r="N965" s="136"/>
      <c r="O965" s="136"/>
      <c r="P965" s="136"/>
      <c r="Q965" s="136"/>
      <c r="R965" s="136"/>
      <c r="S965" s="136"/>
      <c r="T965" s="136"/>
      <c r="U965" s="136"/>
      <c r="V965" s="136"/>
      <c r="W965" s="136"/>
      <c r="X965" s="136"/>
      <c r="Y965" s="136"/>
      <c r="Z965" s="136"/>
      <c r="AA965" s="231"/>
    </row>
    <row r="966" spans="1:27" x14ac:dyDescent="0.2">
      <c r="A966" s="39"/>
      <c r="B966" s="39"/>
      <c r="C966" s="43"/>
      <c r="D966" s="43"/>
      <c r="E966" s="43"/>
      <c r="F966" s="132"/>
      <c r="G966" s="41" t="e">
        <f>VLOOKUP(F966,Pcode!A:B,2,FALSE)</f>
        <v>#N/A</v>
      </c>
      <c r="H966" s="41"/>
      <c r="I966" s="41" t="e">
        <f>VLOOKUP(H966,Pcode!C:D,2,FALSE)</f>
        <v>#N/A</v>
      </c>
      <c r="J966" s="41"/>
      <c r="K966" s="160"/>
      <c r="L966" s="160"/>
      <c r="M966" s="46"/>
      <c r="N966" s="136"/>
      <c r="O966" s="136"/>
      <c r="P966" s="136"/>
      <c r="Q966" s="136"/>
      <c r="R966" s="136"/>
      <c r="S966" s="136"/>
      <c r="T966" s="136"/>
      <c r="U966" s="136"/>
      <c r="V966" s="136"/>
      <c r="W966" s="136"/>
      <c r="X966" s="136"/>
      <c r="Y966" s="136"/>
      <c r="Z966" s="136"/>
      <c r="AA966" s="231"/>
    </row>
    <row r="967" spans="1:27" x14ac:dyDescent="0.2">
      <c r="A967" s="39"/>
      <c r="B967" s="39"/>
      <c r="C967" s="43"/>
      <c r="D967" s="43"/>
      <c r="E967" s="43"/>
      <c r="F967" s="132"/>
      <c r="G967" s="41" t="e">
        <f>VLOOKUP(F967,Pcode!A:B,2,FALSE)</f>
        <v>#N/A</v>
      </c>
      <c r="H967" s="41"/>
      <c r="I967" s="41" t="e">
        <f>VLOOKUP(H967,Pcode!C:D,2,FALSE)</f>
        <v>#N/A</v>
      </c>
      <c r="J967" s="41"/>
      <c r="K967" s="160"/>
      <c r="L967" s="160"/>
      <c r="M967" s="46"/>
      <c r="N967" s="136"/>
      <c r="O967" s="136"/>
      <c r="P967" s="136"/>
      <c r="Q967" s="136"/>
      <c r="R967" s="136"/>
      <c r="S967" s="136"/>
      <c r="T967" s="136"/>
      <c r="U967" s="136"/>
      <c r="V967" s="136"/>
      <c r="W967" s="136"/>
      <c r="X967" s="136"/>
      <c r="Y967" s="136"/>
      <c r="Z967" s="136"/>
      <c r="AA967" s="231"/>
    </row>
    <row r="968" spans="1:27" x14ac:dyDescent="0.2">
      <c r="A968" s="39"/>
      <c r="B968" s="39"/>
      <c r="C968" s="43"/>
      <c r="D968" s="43"/>
      <c r="E968" s="43"/>
      <c r="F968" s="132"/>
      <c r="G968" s="41" t="e">
        <f>VLOOKUP(F968,Pcode!A:B,2,FALSE)</f>
        <v>#N/A</v>
      </c>
      <c r="H968" s="41"/>
      <c r="I968" s="41" t="e">
        <f>VLOOKUP(H968,Pcode!C:D,2,FALSE)</f>
        <v>#N/A</v>
      </c>
      <c r="J968" s="41"/>
      <c r="K968" s="160"/>
      <c r="L968" s="160"/>
      <c r="M968" s="46"/>
      <c r="N968" s="136"/>
      <c r="O968" s="136"/>
      <c r="P968" s="136"/>
      <c r="Q968" s="136"/>
      <c r="R968" s="136"/>
      <c r="S968" s="136"/>
      <c r="T968" s="136"/>
      <c r="U968" s="136"/>
      <c r="V968" s="136"/>
      <c r="W968" s="136"/>
      <c r="X968" s="136"/>
      <c r="Y968" s="136"/>
      <c r="Z968" s="136"/>
      <c r="AA968" s="231"/>
    </row>
    <row r="969" spans="1:27" x14ac:dyDescent="0.2">
      <c r="A969" s="39"/>
      <c r="B969" s="39"/>
      <c r="C969" s="43"/>
      <c r="D969" s="43"/>
      <c r="E969" s="43"/>
      <c r="F969" s="132"/>
      <c r="G969" s="41" t="e">
        <f>VLOOKUP(F969,Pcode!A:B,2,FALSE)</f>
        <v>#N/A</v>
      </c>
      <c r="H969" s="41"/>
      <c r="I969" s="41" t="e">
        <f>VLOOKUP(H969,Pcode!C:D,2,FALSE)</f>
        <v>#N/A</v>
      </c>
      <c r="J969" s="41"/>
      <c r="K969" s="160"/>
      <c r="L969" s="160"/>
      <c r="M969" s="46"/>
      <c r="N969" s="136"/>
      <c r="O969" s="136"/>
      <c r="P969" s="136"/>
      <c r="Q969" s="136"/>
      <c r="R969" s="136"/>
      <c r="S969" s="136"/>
      <c r="T969" s="136"/>
      <c r="U969" s="136"/>
      <c r="V969" s="136"/>
      <c r="W969" s="136"/>
      <c r="X969" s="136"/>
      <c r="Y969" s="136"/>
      <c r="Z969" s="136"/>
      <c r="AA969" s="231"/>
    </row>
    <row r="970" spans="1:27" x14ac:dyDescent="0.2">
      <c r="A970" s="39"/>
      <c r="B970" s="39"/>
      <c r="C970" s="43"/>
      <c r="D970" s="43"/>
      <c r="E970" s="43"/>
      <c r="F970" s="132"/>
      <c r="G970" s="41" t="e">
        <f>VLOOKUP(F970,Pcode!A:B,2,FALSE)</f>
        <v>#N/A</v>
      </c>
      <c r="H970" s="41"/>
      <c r="I970" s="41" t="e">
        <f>VLOOKUP(H970,Pcode!C:D,2,FALSE)</f>
        <v>#N/A</v>
      </c>
      <c r="J970" s="41"/>
      <c r="K970" s="160"/>
      <c r="L970" s="160"/>
      <c r="M970" s="46"/>
      <c r="N970" s="136"/>
      <c r="O970" s="136"/>
      <c r="P970" s="136"/>
      <c r="Q970" s="136"/>
      <c r="R970" s="136"/>
      <c r="S970" s="136"/>
      <c r="T970" s="136"/>
      <c r="U970" s="136"/>
      <c r="V970" s="136"/>
      <c r="W970" s="136"/>
      <c r="X970" s="136"/>
      <c r="Y970" s="136"/>
      <c r="Z970" s="136"/>
      <c r="AA970" s="231"/>
    </row>
    <row r="971" spans="1:27" x14ac:dyDescent="0.2">
      <c r="A971" s="39"/>
      <c r="B971" s="39"/>
      <c r="C971" s="43"/>
      <c r="D971" s="43"/>
      <c r="E971" s="43"/>
      <c r="F971" s="132"/>
      <c r="G971" s="41" t="e">
        <f>VLOOKUP(F971,Pcode!A:B,2,FALSE)</f>
        <v>#N/A</v>
      </c>
      <c r="H971" s="41"/>
      <c r="I971" s="41" t="e">
        <f>VLOOKUP(H971,Pcode!C:D,2,FALSE)</f>
        <v>#N/A</v>
      </c>
      <c r="J971" s="41"/>
      <c r="K971" s="160"/>
      <c r="L971" s="160"/>
      <c r="M971" s="46"/>
      <c r="N971" s="136"/>
      <c r="O971" s="136"/>
      <c r="P971" s="136"/>
      <c r="Q971" s="136"/>
      <c r="R971" s="136"/>
      <c r="S971" s="136"/>
      <c r="T971" s="136"/>
      <c r="U971" s="136"/>
      <c r="V971" s="136"/>
      <c r="W971" s="136"/>
      <c r="X971" s="136"/>
      <c r="Y971" s="136"/>
      <c r="Z971" s="136"/>
      <c r="AA971" s="231"/>
    </row>
    <row r="972" spans="1:27" x14ac:dyDescent="0.2">
      <c r="A972" s="39"/>
      <c r="B972" s="39"/>
      <c r="C972" s="43"/>
      <c r="D972" s="43"/>
      <c r="E972" s="43"/>
      <c r="F972" s="132"/>
      <c r="G972" s="41" t="e">
        <f>VLOOKUP(F972,Pcode!A:B,2,FALSE)</f>
        <v>#N/A</v>
      </c>
      <c r="H972" s="41"/>
      <c r="I972" s="41" t="e">
        <f>VLOOKUP(H972,Pcode!C:D,2,FALSE)</f>
        <v>#N/A</v>
      </c>
      <c r="J972" s="41"/>
      <c r="K972" s="160"/>
      <c r="L972" s="160"/>
      <c r="M972" s="46"/>
      <c r="N972" s="136"/>
      <c r="O972" s="136"/>
      <c r="P972" s="136"/>
      <c r="Q972" s="136"/>
      <c r="R972" s="136"/>
      <c r="S972" s="136"/>
      <c r="T972" s="136"/>
      <c r="U972" s="136"/>
      <c r="V972" s="136"/>
      <c r="W972" s="136"/>
      <c r="X972" s="136"/>
      <c r="Y972" s="136"/>
      <c r="Z972" s="136"/>
      <c r="AA972" s="231"/>
    </row>
    <row r="973" spans="1:27" x14ac:dyDescent="0.2">
      <c r="A973" s="39"/>
      <c r="B973" s="39"/>
      <c r="C973" s="43"/>
      <c r="D973" s="43"/>
      <c r="E973" s="43"/>
      <c r="F973" s="132"/>
      <c r="G973" s="41" t="e">
        <f>VLOOKUP(F973,Pcode!A:B,2,FALSE)</f>
        <v>#N/A</v>
      </c>
      <c r="H973" s="41"/>
      <c r="I973" s="41" t="e">
        <f>VLOOKUP(H973,Pcode!C:D,2,FALSE)</f>
        <v>#N/A</v>
      </c>
      <c r="J973" s="41"/>
      <c r="K973" s="160"/>
      <c r="L973" s="160"/>
      <c r="M973" s="46"/>
      <c r="N973" s="136"/>
      <c r="O973" s="136"/>
      <c r="P973" s="136"/>
      <c r="Q973" s="136"/>
      <c r="R973" s="136"/>
      <c r="S973" s="136"/>
      <c r="T973" s="136"/>
      <c r="U973" s="136"/>
      <c r="V973" s="136"/>
      <c r="W973" s="136"/>
      <c r="X973" s="136"/>
      <c r="Y973" s="136"/>
      <c r="Z973" s="136"/>
      <c r="AA973" s="231"/>
    </row>
    <row r="974" spans="1:27" x14ac:dyDescent="0.2">
      <c r="A974" s="39"/>
      <c r="B974" s="39"/>
      <c r="C974" s="43"/>
      <c r="D974" s="43"/>
      <c r="E974" s="43"/>
      <c r="F974" s="132"/>
      <c r="G974" s="41" t="e">
        <f>VLOOKUP(F974,Pcode!A:B,2,FALSE)</f>
        <v>#N/A</v>
      </c>
      <c r="H974" s="41"/>
      <c r="I974" s="41" t="e">
        <f>VLOOKUP(H974,Pcode!C:D,2,FALSE)</f>
        <v>#N/A</v>
      </c>
      <c r="J974" s="41"/>
      <c r="K974" s="160"/>
      <c r="L974" s="160"/>
      <c r="M974" s="46"/>
      <c r="N974" s="136"/>
      <c r="O974" s="136"/>
      <c r="P974" s="136"/>
      <c r="Q974" s="136"/>
      <c r="R974" s="136"/>
      <c r="S974" s="136"/>
      <c r="T974" s="136"/>
      <c r="U974" s="136"/>
      <c r="V974" s="136"/>
      <c r="W974" s="136"/>
      <c r="X974" s="136"/>
      <c r="Y974" s="136"/>
      <c r="Z974" s="136"/>
      <c r="AA974" s="231"/>
    </row>
    <row r="975" spans="1:27" x14ac:dyDescent="0.2">
      <c r="A975" s="39"/>
      <c r="B975" s="39"/>
      <c r="C975" s="43"/>
      <c r="D975" s="43"/>
      <c r="E975" s="43"/>
      <c r="F975" s="132"/>
      <c r="G975" s="41" t="e">
        <f>VLOOKUP(F975,Pcode!A:B,2,FALSE)</f>
        <v>#N/A</v>
      </c>
      <c r="H975" s="41"/>
      <c r="I975" s="41" t="e">
        <f>VLOOKUP(H975,Pcode!C:D,2,FALSE)</f>
        <v>#N/A</v>
      </c>
      <c r="J975" s="41"/>
      <c r="K975" s="160"/>
      <c r="L975" s="160"/>
      <c r="M975" s="46"/>
      <c r="N975" s="136"/>
      <c r="O975" s="136"/>
      <c r="P975" s="136"/>
      <c r="Q975" s="136"/>
      <c r="R975" s="136"/>
      <c r="S975" s="136"/>
      <c r="T975" s="136"/>
      <c r="U975" s="136"/>
      <c r="V975" s="136"/>
      <c r="W975" s="136"/>
      <c r="X975" s="136"/>
      <c r="Y975" s="136"/>
      <c r="Z975" s="136"/>
      <c r="AA975" s="231"/>
    </row>
    <row r="976" spans="1:27" x14ac:dyDescent="0.2">
      <c r="A976" s="39"/>
      <c r="B976" s="39"/>
      <c r="C976" s="43"/>
      <c r="D976" s="43"/>
      <c r="E976" s="43"/>
      <c r="F976" s="132"/>
      <c r="G976" s="41" t="e">
        <f>VLOOKUP(F976,Pcode!A:B,2,FALSE)</f>
        <v>#N/A</v>
      </c>
      <c r="H976" s="41"/>
      <c r="I976" s="41" t="e">
        <f>VLOOKUP(H976,Pcode!C:D,2,FALSE)</f>
        <v>#N/A</v>
      </c>
      <c r="J976" s="41"/>
      <c r="K976" s="160"/>
      <c r="L976" s="160"/>
      <c r="M976" s="46"/>
      <c r="N976" s="136"/>
      <c r="O976" s="136"/>
      <c r="P976" s="136"/>
      <c r="Q976" s="136"/>
      <c r="R976" s="136"/>
      <c r="S976" s="136"/>
      <c r="T976" s="136"/>
      <c r="U976" s="136"/>
      <c r="V976" s="136"/>
      <c r="W976" s="136"/>
      <c r="X976" s="136"/>
      <c r="Y976" s="136"/>
      <c r="Z976" s="136"/>
      <c r="AA976" s="231"/>
    </row>
    <row r="977" spans="1:27" x14ac:dyDescent="0.2">
      <c r="A977" s="39"/>
      <c r="B977" s="39"/>
      <c r="C977" s="43"/>
      <c r="D977" s="43"/>
      <c r="E977" s="43"/>
      <c r="F977" s="132"/>
      <c r="G977" s="41" t="e">
        <f>VLOOKUP(F977,Pcode!A:B,2,FALSE)</f>
        <v>#N/A</v>
      </c>
      <c r="H977" s="41"/>
      <c r="I977" s="41" t="e">
        <f>VLOOKUP(H977,Pcode!C:D,2,FALSE)</f>
        <v>#N/A</v>
      </c>
      <c r="J977" s="41"/>
      <c r="K977" s="160"/>
      <c r="L977" s="160"/>
      <c r="M977" s="46"/>
      <c r="N977" s="136"/>
      <c r="O977" s="136"/>
      <c r="P977" s="136"/>
      <c r="Q977" s="136"/>
      <c r="R977" s="136"/>
      <c r="S977" s="136"/>
      <c r="T977" s="136"/>
      <c r="U977" s="136"/>
      <c r="V977" s="136"/>
      <c r="W977" s="136"/>
      <c r="X977" s="136"/>
      <c r="Y977" s="136"/>
      <c r="Z977" s="136"/>
      <c r="AA977" s="231"/>
    </row>
    <row r="978" spans="1:27" x14ac:dyDescent="0.2">
      <c r="A978" s="39"/>
      <c r="B978" s="39"/>
      <c r="C978" s="43"/>
      <c r="D978" s="43"/>
      <c r="E978" s="43"/>
      <c r="F978" s="132"/>
      <c r="G978" s="41" t="e">
        <f>VLOOKUP(F978,Pcode!A:B,2,FALSE)</f>
        <v>#N/A</v>
      </c>
      <c r="H978" s="41"/>
      <c r="I978" s="41" t="e">
        <f>VLOOKUP(H978,Pcode!C:D,2,FALSE)</f>
        <v>#N/A</v>
      </c>
      <c r="J978" s="41"/>
      <c r="K978" s="160"/>
      <c r="L978" s="160"/>
      <c r="M978" s="46"/>
      <c r="N978" s="136"/>
      <c r="O978" s="136"/>
      <c r="P978" s="136"/>
      <c r="Q978" s="136"/>
      <c r="R978" s="136"/>
      <c r="S978" s="136"/>
      <c r="T978" s="136"/>
      <c r="U978" s="136"/>
      <c r="V978" s="136"/>
      <c r="W978" s="136"/>
      <c r="X978" s="136"/>
      <c r="Y978" s="136"/>
      <c r="Z978" s="136"/>
      <c r="AA978" s="231"/>
    </row>
    <row r="979" spans="1:27" x14ac:dyDescent="0.2">
      <c r="A979" s="39"/>
      <c r="B979" s="39"/>
      <c r="C979" s="43"/>
      <c r="D979" s="43"/>
      <c r="E979" s="43"/>
      <c r="F979" s="132"/>
      <c r="G979" s="41" t="e">
        <f>VLOOKUP(F979,Pcode!A:B,2,FALSE)</f>
        <v>#N/A</v>
      </c>
      <c r="H979" s="41"/>
      <c r="I979" s="41" t="e">
        <f>VLOOKUP(H979,Pcode!C:D,2,FALSE)</f>
        <v>#N/A</v>
      </c>
      <c r="J979" s="41"/>
      <c r="K979" s="160"/>
      <c r="L979" s="160"/>
      <c r="M979" s="46"/>
      <c r="N979" s="136"/>
      <c r="O979" s="136"/>
      <c r="P979" s="136"/>
      <c r="Q979" s="136"/>
      <c r="R979" s="136"/>
      <c r="S979" s="136"/>
      <c r="T979" s="136"/>
      <c r="U979" s="136"/>
      <c r="V979" s="136"/>
      <c r="W979" s="136"/>
      <c r="X979" s="136"/>
      <c r="Y979" s="136"/>
      <c r="Z979" s="136"/>
      <c r="AA979" s="231"/>
    </row>
    <row r="980" spans="1:27" x14ac:dyDescent="0.2">
      <c r="A980" s="39"/>
      <c r="B980" s="39"/>
      <c r="C980" s="43"/>
      <c r="D980" s="43"/>
      <c r="E980" s="43"/>
      <c r="F980" s="132"/>
      <c r="G980" s="41" t="e">
        <f>VLOOKUP(F980,Pcode!A:B,2,FALSE)</f>
        <v>#N/A</v>
      </c>
      <c r="H980" s="41"/>
      <c r="I980" s="41" t="e">
        <f>VLOOKUP(H980,Pcode!C:D,2,FALSE)</f>
        <v>#N/A</v>
      </c>
      <c r="J980" s="41"/>
      <c r="K980" s="160"/>
      <c r="L980" s="160"/>
      <c r="M980" s="46"/>
      <c r="N980" s="136"/>
      <c r="O980" s="136"/>
      <c r="P980" s="136"/>
      <c r="Q980" s="136"/>
      <c r="R980" s="136"/>
      <c r="S980" s="136"/>
      <c r="T980" s="136"/>
      <c r="U980" s="136"/>
      <c r="V980" s="136"/>
      <c r="W980" s="136"/>
      <c r="X980" s="136"/>
      <c r="Y980" s="136"/>
      <c r="Z980" s="136"/>
      <c r="AA980" s="231"/>
    </row>
    <row r="981" spans="1:27" x14ac:dyDescent="0.2">
      <c r="A981" s="39"/>
      <c r="B981" s="39"/>
      <c r="C981" s="43"/>
      <c r="D981" s="43"/>
      <c r="E981" s="43"/>
      <c r="F981" s="132"/>
      <c r="G981" s="41" t="e">
        <f>VLOOKUP(F981,Pcode!A:B,2,FALSE)</f>
        <v>#N/A</v>
      </c>
      <c r="H981" s="41"/>
      <c r="I981" s="41" t="e">
        <f>VLOOKUP(H981,Pcode!C:D,2,FALSE)</f>
        <v>#N/A</v>
      </c>
      <c r="J981" s="41"/>
      <c r="K981" s="160"/>
      <c r="L981" s="160"/>
      <c r="M981" s="46"/>
      <c r="N981" s="136"/>
      <c r="O981" s="136"/>
      <c r="P981" s="136"/>
      <c r="Q981" s="136"/>
      <c r="R981" s="136"/>
      <c r="S981" s="136"/>
      <c r="T981" s="136"/>
      <c r="U981" s="136"/>
      <c r="V981" s="136"/>
      <c r="W981" s="136"/>
      <c r="X981" s="136"/>
      <c r="Y981" s="136"/>
      <c r="Z981" s="136"/>
      <c r="AA981" s="231"/>
    </row>
    <row r="982" spans="1:27" x14ac:dyDescent="0.2">
      <c r="A982" s="39"/>
      <c r="B982" s="39"/>
      <c r="C982" s="43"/>
      <c r="D982" s="43"/>
      <c r="E982" s="43"/>
      <c r="F982" s="132"/>
      <c r="G982" s="41" t="e">
        <f>VLOOKUP(F982,Pcode!A:B,2,FALSE)</f>
        <v>#N/A</v>
      </c>
      <c r="H982" s="41"/>
      <c r="I982" s="41" t="e">
        <f>VLOOKUP(H982,Pcode!C:D,2,FALSE)</f>
        <v>#N/A</v>
      </c>
      <c r="J982" s="41"/>
      <c r="K982" s="160"/>
      <c r="L982" s="160"/>
      <c r="M982" s="46"/>
      <c r="N982" s="136"/>
      <c r="O982" s="136"/>
      <c r="P982" s="136"/>
      <c r="Q982" s="136"/>
      <c r="R982" s="136"/>
      <c r="S982" s="136"/>
      <c r="T982" s="136"/>
      <c r="U982" s="136"/>
      <c r="V982" s="136"/>
      <c r="W982" s="136"/>
      <c r="X982" s="136"/>
      <c r="Y982" s="136"/>
      <c r="Z982" s="136"/>
      <c r="AA982" s="231"/>
    </row>
    <row r="983" spans="1:27" x14ac:dyDescent="0.2">
      <c r="A983" s="39"/>
      <c r="B983" s="39"/>
      <c r="C983" s="43"/>
      <c r="D983" s="43"/>
      <c r="E983" s="43"/>
      <c r="F983" s="132"/>
      <c r="G983" s="41" t="e">
        <f>VLOOKUP(F983,Pcode!A:B,2,FALSE)</f>
        <v>#N/A</v>
      </c>
      <c r="H983" s="41"/>
      <c r="I983" s="41" t="e">
        <f>VLOOKUP(H983,Pcode!C:D,2,FALSE)</f>
        <v>#N/A</v>
      </c>
      <c r="J983" s="41"/>
      <c r="K983" s="160"/>
      <c r="L983" s="160"/>
      <c r="M983" s="46"/>
      <c r="N983" s="136"/>
      <c r="O983" s="136"/>
      <c r="P983" s="136"/>
      <c r="Q983" s="136"/>
      <c r="R983" s="136"/>
      <c r="S983" s="136"/>
      <c r="T983" s="136"/>
      <c r="U983" s="136"/>
      <c r="V983" s="136"/>
      <c r="W983" s="136"/>
      <c r="X983" s="136"/>
      <c r="Y983" s="136"/>
      <c r="Z983" s="136"/>
      <c r="AA983" s="231"/>
    </row>
    <row r="984" spans="1:27" x14ac:dyDescent="0.2">
      <c r="A984" s="39"/>
      <c r="B984" s="39"/>
      <c r="C984" s="43"/>
      <c r="D984" s="43"/>
      <c r="E984" s="43"/>
      <c r="F984" s="132"/>
      <c r="G984" s="41" t="e">
        <f>VLOOKUP(F984,Pcode!A:B,2,FALSE)</f>
        <v>#N/A</v>
      </c>
      <c r="H984" s="41"/>
      <c r="I984" s="41" t="e">
        <f>VLOOKUP(H984,Pcode!C:D,2,FALSE)</f>
        <v>#N/A</v>
      </c>
      <c r="J984" s="41"/>
      <c r="K984" s="160"/>
      <c r="L984" s="160"/>
      <c r="M984" s="46"/>
      <c r="N984" s="136"/>
      <c r="O984" s="136"/>
      <c r="P984" s="136"/>
      <c r="Q984" s="136"/>
      <c r="R984" s="136"/>
      <c r="S984" s="136"/>
      <c r="T984" s="136"/>
      <c r="U984" s="136"/>
      <c r="V984" s="136"/>
      <c r="W984" s="136"/>
      <c r="X984" s="136"/>
      <c r="Y984" s="136"/>
      <c r="Z984" s="136"/>
      <c r="AA984" s="231"/>
    </row>
    <row r="985" spans="1:27" x14ac:dyDescent="0.2">
      <c r="A985" s="39"/>
      <c r="B985" s="39"/>
      <c r="C985" s="43"/>
      <c r="D985" s="43"/>
      <c r="E985" s="43"/>
      <c r="F985" s="132"/>
      <c r="G985" s="41" t="e">
        <f>VLOOKUP(F985,Pcode!A:B,2,FALSE)</f>
        <v>#N/A</v>
      </c>
      <c r="H985" s="41"/>
      <c r="I985" s="41" t="e">
        <f>VLOOKUP(H985,Pcode!C:D,2,FALSE)</f>
        <v>#N/A</v>
      </c>
      <c r="J985" s="41"/>
      <c r="K985" s="160"/>
      <c r="L985" s="160"/>
      <c r="M985" s="46"/>
      <c r="N985" s="136"/>
      <c r="O985" s="136"/>
      <c r="P985" s="136"/>
      <c r="Q985" s="136"/>
      <c r="R985" s="136"/>
      <c r="S985" s="136"/>
      <c r="T985" s="136"/>
      <c r="U985" s="136"/>
      <c r="V985" s="136"/>
      <c r="W985" s="136"/>
      <c r="X985" s="136"/>
      <c r="Y985" s="136"/>
      <c r="Z985" s="136"/>
      <c r="AA985" s="231"/>
    </row>
    <row r="986" spans="1:27" x14ac:dyDescent="0.2">
      <c r="A986" s="39"/>
      <c r="B986" s="39"/>
      <c r="C986" s="43"/>
      <c r="D986" s="43"/>
      <c r="E986" s="43"/>
      <c r="F986" s="132"/>
      <c r="G986" s="41" t="e">
        <f>VLOOKUP(F986,Pcode!A:B,2,FALSE)</f>
        <v>#N/A</v>
      </c>
      <c r="H986" s="41"/>
      <c r="I986" s="41" t="e">
        <f>VLOOKUP(H986,Pcode!C:D,2,FALSE)</f>
        <v>#N/A</v>
      </c>
      <c r="J986" s="41"/>
      <c r="K986" s="160"/>
      <c r="L986" s="160"/>
      <c r="M986" s="46"/>
      <c r="N986" s="136"/>
      <c r="O986" s="136"/>
      <c r="P986" s="136"/>
      <c r="Q986" s="136"/>
      <c r="R986" s="136"/>
      <c r="S986" s="136"/>
      <c r="T986" s="136"/>
      <c r="U986" s="136"/>
      <c r="V986" s="136"/>
      <c r="W986" s="136"/>
      <c r="X986" s="136"/>
      <c r="Y986" s="136"/>
      <c r="Z986" s="136"/>
      <c r="AA986" s="231"/>
    </row>
    <row r="987" spans="1:27" x14ac:dyDescent="0.2">
      <c r="A987" s="39"/>
      <c r="B987" s="39"/>
      <c r="C987" s="43"/>
      <c r="D987" s="43"/>
      <c r="E987" s="43"/>
      <c r="F987" s="132"/>
      <c r="G987" s="41" t="e">
        <f>VLOOKUP(F987,Pcode!A:B,2,FALSE)</f>
        <v>#N/A</v>
      </c>
      <c r="H987" s="41"/>
      <c r="I987" s="41" t="e">
        <f>VLOOKUP(H987,Pcode!C:D,2,FALSE)</f>
        <v>#N/A</v>
      </c>
      <c r="J987" s="41"/>
      <c r="K987" s="160"/>
      <c r="L987" s="160"/>
      <c r="M987" s="46"/>
      <c r="N987" s="136"/>
      <c r="O987" s="136"/>
      <c r="P987" s="136"/>
      <c r="Q987" s="136"/>
      <c r="R987" s="136"/>
      <c r="S987" s="136"/>
      <c r="T987" s="136"/>
      <c r="U987" s="136"/>
      <c r="V987" s="136"/>
      <c r="W987" s="136"/>
      <c r="X987" s="136"/>
      <c r="Y987" s="136"/>
      <c r="Z987" s="136"/>
      <c r="AA987" s="231"/>
    </row>
    <row r="988" spans="1:27" x14ac:dyDescent="0.2">
      <c r="A988" s="39"/>
      <c r="B988" s="39"/>
      <c r="C988" s="43"/>
      <c r="D988" s="43"/>
      <c r="E988" s="43"/>
      <c r="F988" s="132"/>
      <c r="G988" s="41" t="e">
        <f>VLOOKUP(F988,Pcode!A:B,2,FALSE)</f>
        <v>#N/A</v>
      </c>
      <c r="H988" s="41"/>
      <c r="I988" s="41" t="e">
        <f>VLOOKUP(H988,Pcode!C:D,2,FALSE)</f>
        <v>#N/A</v>
      </c>
      <c r="J988" s="41"/>
      <c r="K988" s="160"/>
      <c r="L988" s="160"/>
      <c r="M988" s="46"/>
      <c r="N988" s="136"/>
      <c r="O988" s="136"/>
      <c r="P988" s="136"/>
      <c r="Q988" s="136"/>
      <c r="R988" s="136"/>
      <c r="S988" s="136"/>
      <c r="T988" s="136"/>
      <c r="U988" s="136"/>
      <c r="V988" s="136"/>
      <c r="W988" s="136"/>
      <c r="X988" s="136"/>
      <c r="Y988" s="136"/>
      <c r="Z988" s="136"/>
      <c r="AA988" s="231"/>
    </row>
    <row r="989" spans="1:27" x14ac:dyDescent="0.2">
      <c r="A989" s="39"/>
      <c r="B989" s="39"/>
      <c r="C989" s="43"/>
      <c r="D989" s="43"/>
      <c r="E989" s="43"/>
      <c r="F989" s="132"/>
      <c r="G989" s="41" t="e">
        <f>VLOOKUP(F989,Pcode!A:B,2,FALSE)</f>
        <v>#N/A</v>
      </c>
      <c r="H989" s="41"/>
      <c r="I989" s="41" t="e">
        <f>VLOOKUP(H989,Pcode!C:D,2,FALSE)</f>
        <v>#N/A</v>
      </c>
      <c r="J989" s="41"/>
      <c r="K989" s="160"/>
      <c r="L989" s="160"/>
      <c r="M989" s="46"/>
      <c r="N989" s="136"/>
      <c r="O989" s="136"/>
      <c r="P989" s="136"/>
      <c r="Q989" s="136"/>
      <c r="R989" s="136"/>
      <c r="S989" s="136"/>
      <c r="T989" s="136"/>
      <c r="U989" s="136"/>
      <c r="V989" s="136"/>
      <c r="W989" s="136"/>
      <c r="X989" s="136"/>
      <c r="Y989" s="136"/>
      <c r="Z989" s="136"/>
      <c r="AA989" s="231"/>
    </row>
    <row r="990" spans="1:27" x14ac:dyDescent="0.2">
      <c r="A990" s="39"/>
      <c r="B990" s="39"/>
      <c r="C990" s="43"/>
      <c r="D990" s="43"/>
      <c r="E990" s="43"/>
      <c r="F990" s="132"/>
      <c r="G990" s="41" t="e">
        <f>VLOOKUP(F990,Pcode!A:B,2,FALSE)</f>
        <v>#N/A</v>
      </c>
      <c r="H990" s="41"/>
      <c r="I990" s="41" t="e">
        <f>VLOOKUP(H990,Pcode!C:D,2,FALSE)</f>
        <v>#N/A</v>
      </c>
      <c r="J990" s="41"/>
      <c r="K990" s="160"/>
      <c r="L990" s="160"/>
      <c r="M990" s="46"/>
      <c r="N990" s="136"/>
      <c r="O990" s="136"/>
      <c r="P990" s="136"/>
      <c r="Q990" s="136"/>
      <c r="R990" s="136"/>
      <c r="S990" s="136"/>
      <c r="T990" s="136"/>
      <c r="U990" s="136"/>
      <c r="V990" s="136"/>
      <c r="W990" s="136"/>
      <c r="X990" s="136"/>
      <c r="Y990" s="136"/>
      <c r="Z990" s="136"/>
      <c r="AA990" s="231"/>
    </row>
    <row r="991" spans="1:27" x14ac:dyDescent="0.2">
      <c r="A991" s="39"/>
      <c r="B991" s="39"/>
      <c r="C991" s="43"/>
      <c r="D991" s="43"/>
      <c r="E991" s="43"/>
      <c r="F991" s="132"/>
      <c r="G991" s="41" t="e">
        <f>VLOOKUP(F991,Pcode!A:B,2,FALSE)</f>
        <v>#N/A</v>
      </c>
      <c r="H991" s="41"/>
      <c r="I991" s="41" t="e">
        <f>VLOOKUP(H991,Pcode!C:D,2,FALSE)</f>
        <v>#N/A</v>
      </c>
      <c r="J991" s="41"/>
      <c r="K991" s="160"/>
      <c r="L991" s="160"/>
      <c r="M991" s="46"/>
      <c r="N991" s="136"/>
      <c r="O991" s="136"/>
      <c r="P991" s="136"/>
      <c r="Q991" s="136"/>
      <c r="R991" s="136"/>
      <c r="S991" s="136"/>
      <c r="T991" s="136"/>
      <c r="U991" s="136"/>
      <c r="V991" s="136"/>
      <c r="W991" s="136"/>
      <c r="X991" s="136"/>
      <c r="Y991" s="136"/>
      <c r="Z991" s="136"/>
      <c r="AA991" s="231"/>
    </row>
    <row r="992" spans="1:27" x14ac:dyDescent="0.2">
      <c r="A992" s="39"/>
      <c r="B992" s="39"/>
      <c r="C992" s="43"/>
      <c r="D992" s="43"/>
      <c r="E992" s="43"/>
      <c r="F992" s="132"/>
      <c r="G992" s="41" t="e">
        <f>VLOOKUP(F992,Pcode!A:B,2,FALSE)</f>
        <v>#N/A</v>
      </c>
      <c r="H992" s="41"/>
      <c r="I992" s="41" t="e">
        <f>VLOOKUP(H992,Pcode!C:D,2,FALSE)</f>
        <v>#N/A</v>
      </c>
      <c r="J992" s="41"/>
      <c r="K992" s="160"/>
      <c r="L992" s="160"/>
      <c r="M992" s="46"/>
      <c r="N992" s="136"/>
      <c r="O992" s="136"/>
      <c r="P992" s="136"/>
      <c r="Q992" s="136"/>
      <c r="R992" s="136"/>
      <c r="S992" s="136"/>
      <c r="T992" s="136"/>
      <c r="U992" s="136"/>
      <c r="V992" s="136"/>
      <c r="W992" s="136"/>
      <c r="X992" s="136"/>
      <c r="Y992" s="136"/>
      <c r="Z992" s="136"/>
      <c r="AA992" s="231"/>
    </row>
    <row r="993" spans="1:27" x14ac:dyDescent="0.2">
      <c r="A993" s="39"/>
      <c r="B993" s="39"/>
      <c r="C993" s="43"/>
      <c r="D993" s="43"/>
      <c r="E993" s="43"/>
      <c r="F993" s="132"/>
      <c r="G993" s="41" t="e">
        <f>VLOOKUP(F993,Pcode!A:B,2,FALSE)</f>
        <v>#N/A</v>
      </c>
      <c r="H993" s="41"/>
      <c r="I993" s="41" t="e">
        <f>VLOOKUP(H993,Pcode!C:D,2,FALSE)</f>
        <v>#N/A</v>
      </c>
      <c r="J993" s="41"/>
      <c r="K993" s="160"/>
      <c r="L993" s="160"/>
      <c r="M993" s="46"/>
      <c r="N993" s="136"/>
      <c r="O993" s="136"/>
      <c r="P993" s="136"/>
      <c r="Q993" s="136"/>
      <c r="R993" s="136"/>
      <c r="S993" s="136"/>
      <c r="T993" s="136"/>
      <c r="U993" s="136"/>
      <c r="V993" s="136"/>
      <c r="W993" s="136"/>
      <c r="X993" s="136"/>
      <c r="Y993" s="136"/>
      <c r="Z993" s="136"/>
      <c r="AA993" s="231"/>
    </row>
    <row r="994" spans="1:27" x14ac:dyDescent="0.2">
      <c r="A994" s="39"/>
      <c r="B994" s="39"/>
      <c r="C994" s="43"/>
      <c r="D994" s="43"/>
      <c r="E994" s="43"/>
      <c r="F994" s="132"/>
      <c r="G994" s="41" t="e">
        <f>VLOOKUP(F994,Pcode!A:B,2,FALSE)</f>
        <v>#N/A</v>
      </c>
      <c r="H994" s="41"/>
      <c r="I994" s="41" t="e">
        <f>VLOOKUP(H994,Pcode!C:D,2,FALSE)</f>
        <v>#N/A</v>
      </c>
      <c r="J994" s="41"/>
      <c r="K994" s="160"/>
      <c r="L994" s="160"/>
      <c r="M994" s="46"/>
      <c r="N994" s="136"/>
      <c r="O994" s="136"/>
      <c r="P994" s="136"/>
      <c r="Q994" s="136"/>
      <c r="R994" s="136"/>
      <c r="S994" s="136"/>
      <c r="T994" s="136"/>
      <c r="U994" s="136"/>
      <c r="V994" s="136"/>
      <c r="W994" s="136"/>
      <c r="X994" s="136"/>
      <c r="Y994" s="136"/>
      <c r="Z994" s="136"/>
      <c r="AA994" s="231"/>
    </row>
    <row r="995" spans="1:27" x14ac:dyDescent="0.2">
      <c r="A995" s="39"/>
      <c r="B995" s="39"/>
      <c r="C995" s="43"/>
      <c r="D995" s="43"/>
      <c r="E995" s="43"/>
      <c r="F995" s="132"/>
      <c r="G995" s="41" t="e">
        <f>VLOOKUP(F995,Pcode!A:B,2,FALSE)</f>
        <v>#N/A</v>
      </c>
      <c r="H995" s="41"/>
      <c r="I995" s="41" t="e">
        <f>VLOOKUP(H995,Pcode!C:D,2,FALSE)</f>
        <v>#N/A</v>
      </c>
      <c r="J995" s="41"/>
      <c r="K995" s="160"/>
      <c r="L995" s="160"/>
      <c r="M995" s="46"/>
      <c r="N995" s="136"/>
      <c r="O995" s="136"/>
      <c r="P995" s="136"/>
      <c r="Q995" s="136"/>
      <c r="R995" s="136"/>
      <c r="S995" s="136"/>
      <c r="T995" s="136"/>
      <c r="U995" s="136"/>
      <c r="V995" s="136"/>
      <c r="W995" s="136"/>
      <c r="X995" s="136"/>
      <c r="Y995" s="136"/>
      <c r="Z995" s="136"/>
      <c r="AA995" s="231"/>
    </row>
    <row r="996" spans="1:27" x14ac:dyDescent="0.2">
      <c r="A996" s="39"/>
      <c r="B996" s="39"/>
      <c r="C996" s="43"/>
      <c r="D996" s="43"/>
      <c r="E996" s="43"/>
      <c r="F996" s="132"/>
      <c r="G996" s="41" t="e">
        <f>VLOOKUP(F996,Pcode!A:B,2,FALSE)</f>
        <v>#N/A</v>
      </c>
      <c r="H996" s="41"/>
      <c r="I996" s="41" t="e">
        <f>VLOOKUP(H996,Pcode!C:D,2,FALSE)</f>
        <v>#N/A</v>
      </c>
      <c r="J996" s="41"/>
      <c r="K996" s="160"/>
      <c r="L996" s="160"/>
      <c r="M996" s="46"/>
      <c r="N996" s="136"/>
      <c r="O996" s="136"/>
      <c r="P996" s="136"/>
      <c r="Q996" s="136"/>
      <c r="R996" s="136"/>
      <c r="S996" s="136"/>
      <c r="T996" s="136"/>
      <c r="U996" s="136"/>
      <c r="V996" s="136"/>
      <c r="W996" s="136"/>
      <c r="X996" s="136"/>
      <c r="Y996" s="136"/>
      <c r="Z996" s="136"/>
      <c r="AA996" s="231"/>
    </row>
    <row r="997" spans="1:27" x14ac:dyDescent="0.2">
      <c r="A997" s="39"/>
      <c r="B997" s="39"/>
      <c r="C997" s="43"/>
      <c r="D997" s="43"/>
      <c r="E997" s="43"/>
      <c r="F997" s="132"/>
      <c r="G997" s="41" t="e">
        <f>VLOOKUP(F997,Pcode!A:B,2,FALSE)</f>
        <v>#N/A</v>
      </c>
      <c r="H997" s="41"/>
      <c r="I997" s="41" t="e">
        <f>VLOOKUP(H997,Pcode!C:D,2,FALSE)</f>
        <v>#N/A</v>
      </c>
      <c r="J997" s="41"/>
      <c r="K997" s="160"/>
      <c r="L997" s="160"/>
      <c r="M997" s="46"/>
      <c r="N997" s="136"/>
      <c r="O997" s="136"/>
      <c r="P997" s="136"/>
      <c r="Q997" s="136"/>
      <c r="R997" s="136"/>
      <c r="S997" s="136"/>
      <c r="T997" s="136"/>
      <c r="U997" s="136"/>
      <c r="V997" s="136"/>
      <c r="W997" s="136"/>
      <c r="X997" s="136"/>
      <c r="Y997" s="136"/>
      <c r="Z997" s="136"/>
      <c r="AA997" s="231"/>
    </row>
    <row r="998" spans="1:27" x14ac:dyDescent="0.2">
      <c r="A998" s="39"/>
      <c r="B998" s="39"/>
      <c r="C998" s="43"/>
      <c r="D998" s="43"/>
      <c r="E998" s="43"/>
      <c r="F998" s="132"/>
      <c r="G998" s="41" t="e">
        <f>VLOOKUP(F998,Pcode!A:B,2,FALSE)</f>
        <v>#N/A</v>
      </c>
      <c r="H998" s="41"/>
      <c r="I998" s="41" t="e">
        <f>VLOOKUP(H998,Pcode!C:D,2,FALSE)</f>
        <v>#N/A</v>
      </c>
      <c r="J998" s="41"/>
      <c r="K998" s="160"/>
      <c r="L998" s="160"/>
      <c r="M998" s="46"/>
      <c r="N998" s="136"/>
      <c r="O998" s="136"/>
      <c r="P998" s="136"/>
      <c r="Q998" s="136"/>
      <c r="R998" s="136"/>
      <c r="S998" s="136"/>
      <c r="T998" s="136"/>
      <c r="U998" s="136"/>
      <c r="V998" s="136"/>
      <c r="W998" s="136"/>
      <c r="X998" s="136"/>
      <c r="Y998" s="136"/>
      <c r="Z998" s="136"/>
      <c r="AA998" s="231"/>
    </row>
    <row r="999" spans="1:27" x14ac:dyDescent="0.2">
      <c r="A999" s="39"/>
      <c r="B999" s="39"/>
      <c r="C999" s="43"/>
      <c r="D999" s="43"/>
      <c r="E999" s="43"/>
      <c r="F999" s="132"/>
      <c r="G999" s="41" t="e">
        <f>VLOOKUP(F999,Pcode!A:B,2,FALSE)</f>
        <v>#N/A</v>
      </c>
      <c r="H999" s="41"/>
      <c r="I999" s="41" t="e">
        <f>VLOOKUP(H999,Pcode!C:D,2,FALSE)</f>
        <v>#N/A</v>
      </c>
      <c r="J999" s="41"/>
      <c r="K999" s="160"/>
      <c r="L999" s="160"/>
      <c r="M999" s="46"/>
      <c r="N999" s="136"/>
      <c r="O999" s="136"/>
      <c r="P999" s="136"/>
      <c r="Q999" s="136"/>
      <c r="R999" s="136"/>
      <c r="S999" s="136"/>
      <c r="T999" s="136"/>
      <c r="U999" s="136"/>
      <c r="V999" s="136"/>
      <c r="W999" s="136"/>
      <c r="X999" s="136"/>
      <c r="Y999" s="136"/>
      <c r="Z999" s="136"/>
      <c r="AA999" s="231"/>
    </row>
    <row r="1000" spans="1:27" x14ac:dyDescent="0.2">
      <c r="A1000" s="39"/>
      <c r="B1000" s="39"/>
      <c r="C1000" s="43"/>
      <c r="D1000" s="43"/>
      <c r="E1000" s="43"/>
      <c r="F1000" s="132"/>
      <c r="G1000" s="41" t="e">
        <f>VLOOKUP(F1000,Pcode!A:B,2,FALSE)</f>
        <v>#N/A</v>
      </c>
      <c r="H1000" s="41"/>
      <c r="I1000" s="41" t="e">
        <f>VLOOKUP(H1000,Pcode!C:D,2,FALSE)</f>
        <v>#N/A</v>
      </c>
      <c r="J1000" s="41"/>
      <c r="K1000" s="160"/>
      <c r="L1000" s="160"/>
      <c r="M1000" s="46"/>
      <c r="N1000" s="136"/>
      <c r="O1000" s="136"/>
      <c r="P1000" s="136"/>
      <c r="Q1000" s="136"/>
      <c r="R1000" s="136"/>
      <c r="S1000" s="136"/>
      <c r="T1000" s="136"/>
      <c r="U1000" s="136"/>
      <c r="V1000" s="136"/>
      <c r="W1000" s="136"/>
      <c r="X1000" s="136"/>
      <c r="Y1000" s="136"/>
      <c r="Z1000" s="136"/>
      <c r="AA1000" s="231"/>
    </row>
    <row r="1001" spans="1:27" x14ac:dyDescent="0.2">
      <c r="A1001" s="39"/>
      <c r="B1001" s="39"/>
      <c r="C1001" s="43"/>
      <c r="D1001" s="43"/>
      <c r="E1001" s="43"/>
      <c r="F1001" s="132"/>
      <c r="G1001" s="41" t="e">
        <f>VLOOKUP(F1001,Pcode!A:B,2,FALSE)</f>
        <v>#N/A</v>
      </c>
      <c r="H1001" s="41"/>
      <c r="I1001" s="41" t="e">
        <f>VLOOKUP(H1001,Pcode!C:D,2,FALSE)</f>
        <v>#N/A</v>
      </c>
      <c r="J1001" s="41"/>
      <c r="K1001" s="160"/>
      <c r="L1001" s="160"/>
      <c r="M1001" s="46"/>
      <c r="N1001" s="136"/>
      <c r="O1001" s="136"/>
      <c r="P1001" s="136"/>
      <c r="Q1001" s="136"/>
      <c r="R1001" s="136"/>
      <c r="S1001" s="136"/>
      <c r="T1001" s="136"/>
      <c r="U1001" s="136"/>
      <c r="V1001" s="136"/>
      <c r="W1001" s="136"/>
      <c r="X1001" s="136"/>
      <c r="Y1001" s="136"/>
      <c r="Z1001" s="136"/>
      <c r="AA1001" s="231"/>
    </row>
    <row r="1002" spans="1:27" x14ac:dyDescent="0.2">
      <c r="A1002" s="39"/>
      <c r="B1002" s="39"/>
      <c r="C1002" s="43"/>
      <c r="D1002" s="43"/>
      <c r="E1002" s="43"/>
      <c r="F1002" s="132"/>
      <c r="G1002" s="41" t="e">
        <f>VLOOKUP(F1002,Pcode!A:B,2,FALSE)</f>
        <v>#N/A</v>
      </c>
      <c r="H1002" s="41"/>
      <c r="I1002" s="41" t="e">
        <f>VLOOKUP(H1002,Pcode!C:D,2,FALSE)</f>
        <v>#N/A</v>
      </c>
      <c r="J1002" s="41"/>
      <c r="K1002" s="160"/>
      <c r="L1002" s="160"/>
      <c r="M1002" s="46"/>
      <c r="N1002" s="136"/>
      <c r="O1002" s="136"/>
      <c r="P1002" s="136"/>
      <c r="Q1002" s="136"/>
      <c r="R1002" s="136"/>
      <c r="S1002" s="136"/>
      <c r="T1002" s="136"/>
      <c r="U1002" s="136"/>
      <c r="V1002" s="136"/>
      <c r="W1002" s="136"/>
      <c r="X1002" s="136"/>
      <c r="Y1002" s="136"/>
      <c r="Z1002" s="136"/>
      <c r="AA1002" s="231"/>
    </row>
    <row r="1003" spans="1:27" x14ac:dyDescent="0.2">
      <c r="A1003" s="39"/>
      <c r="B1003" s="39"/>
      <c r="C1003" s="43"/>
      <c r="D1003" s="43"/>
      <c r="E1003" s="43"/>
      <c r="F1003" s="132"/>
      <c r="G1003" s="41" t="e">
        <f>VLOOKUP(F1003,Pcode!A:B,2,FALSE)</f>
        <v>#N/A</v>
      </c>
      <c r="H1003" s="41"/>
      <c r="I1003" s="41" t="e">
        <f>VLOOKUP(H1003,Pcode!C:D,2,FALSE)</f>
        <v>#N/A</v>
      </c>
      <c r="J1003" s="41"/>
      <c r="K1003" s="160"/>
      <c r="L1003" s="160"/>
      <c r="M1003" s="46"/>
      <c r="N1003" s="136"/>
      <c r="O1003" s="136"/>
      <c r="P1003" s="136"/>
      <c r="Q1003" s="136"/>
      <c r="R1003" s="136"/>
      <c r="S1003" s="136"/>
      <c r="T1003" s="136"/>
      <c r="U1003" s="136"/>
      <c r="V1003" s="136"/>
      <c r="W1003" s="136"/>
      <c r="X1003" s="136"/>
      <c r="Y1003" s="136"/>
      <c r="Z1003" s="136"/>
      <c r="AA1003" s="231"/>
    </row>
    <row r="1004" spans="1:27" x14ac:dyDescent="0.2">
      <c r="A1004" s="39"/>
      <c r="B1004" s="39"/>
      <c r="C1004" s="43"/>
      <c r="D1004" s="43"/>
      <c r="E1004" s="43"/>
      <c r="F1004" s="132"/>
      <c r="G1004" s="41" t="e">
        <f>VLOOKUP(F1004,Pcode!A:B,2,FALSE)</f>
        <v>#N/A</v>
      </c>
      <c r="H1004" s="41"/>
      <c r="I1004" s="41" t="e">
        <f>VLOOKUP(H1004,Pcode!C:D,2,FALSE)</f>
        <v>#N/A</v>
      </c>
      <c r="J1004" s="41"/>
      <c r="K1004" s="160"/>
      <c r="L1004" s="160"/>
      <c r="M1004" s="46"/>
      <c r="N1004" s="136"/>
      <c r="O1004" s="136"/>
      <c r="P1004" s="136"/>
      <c r="Q1004" s="136"/>
      <c r="R1004" s="136"/>
      <c r="S1004" s="136"/>
      <c r="T1004" s="136"/>
      <c r="U1004" s="136"/>
      <c r="V1004" s="136"/>
      <c r="W1004" s="136"/>
      <c r="X1004" s="136"/>
      <c r="Y1004" s="136"/>
      <c r="Z1004" s="136"/>
      <c r="AA1004" s="231"/>
    </row>
    <row r="1005" spans="1:27" x14ac:dyDescent="0.2">
      <c r="A1005" s="39"/>
      <c r="B1005" s="39"/>
      <c r="C1005" s="43"/>
      <c r="D1005" s="43"/>
      <c r="E1005" s="43"/>
      <c r="F1005" s="132"/>
      <c r="G1005" s="41" t="e">
        <f>VLOOKUP(F1005,Pcode!A:B,2,FALSE)</f>
        <v>#N/A</v>
      </c>
      <c r="H1005" s="41"/>
      <c r="I1005" s="41" t="e">
        <f>VLOOKUP(H1005,Pcode!C:D,2,FALSE)</f>
        <v>#N/A</v>
      </c>
      <c r="J1005" s="41"/>
      <c r="K1005" s="160"/>
      <c r="L1005" s="160"/>
      <c r="M1005" s="46"/>
      <c r="N1005" s="136"/>
      <c r="O1005" s="136"/>
      <c r="P1005" s="136"/>
      <c r="Q1005" s="136"/>
      <c r="R1005" s="136"/>
      <c r="S1005" s="136"/>
      <c r="T1005" s="136"/>
      <c r="U1005" s="136"/>
      <c r="V1005" s="136"/>
      <c r="W1005" s="136"/>
      <c r="X1005" s="136"/>
      <c r="Y1005" s="136"/>
      <c r="Z1005" s="136"/>
      <c r="AA1005" s="231"/>
    </row>
    <row r="1006" spans="1:27" x14ac:dyDescent="0.2">
      <c r="A1006" s="39"/>
      <c r="B1006" s="39"/>
      <c r="C1006" s="43"/>
      <c r="D1006" s="43"/>
      <c r="E1006" s="43"/>
      <c r="F1006" s="132"/>
      <c r="G1006" s="41" t="e">
        <f>VLOOKUP(F1006,Pcode!A:B,2,FALSE)</f>
        <v>#N/A</v>
      </c>
      <c r="H1006" s="41"/>
      <c r="I1006" s="41" t="e">
        <f>VLOOKUP(H1006,Pcode!C:D,2,FALSE)</f>
        <v>#N/A</v>
      </c>
      <c r="J1006" s="41"/>
      <c r="K1006" s="160"/>
      <c r="L1006" s="160"/>
      <c r="M1006" s="46"/>
      <c r="N1006" s="136"/>
      <c r="O1006" s="136"/>
      <c r="P1006" s="136"/>
      <c r="Q1006" s="136"/>
      <c r="R1006" s="136"/>
      <c r="S1006" s="136"/>
      <c r="T1006" s="136"/>
      <c r="U1006" s="136"/>
      <c r="V1006" s="136"/>
      <c r="W1006" s="136"/>
      <c r="X1006" s="136"/>
      <c r="Y1006" s="136"/>
      <c r="Z1006" s="136"/>
      <c r="AA1006" s="231"/>
    </row>
    <row r="1007" spans="1:27" x14ac:dyDescent="0.2">
      <c r="A1007" s="39"/>
      <c r="B1007" s="39"/>
      <c r="C1007" s="43"/>
      <c r="D1007" s="43"/>
      <c r="E1007" s="43"/>
      <c r="F1007" s="132"/>
      <c r="G1007" s="41" t="e">
        <f>VLOOKUP(F1007,Pcode!A:B,2,FALSE)</f>
        <v>#N/A</v>
      </c>
      <c r="H1007" s="41"/>
      <c r="I1007" s="41" t="e">
        <f>VLOOKUP(H1007,Pcode!C:D,2,FALSE)</f>
        <v>#N/A</v>
      </c>
      <c r="J1007" s="41"/>
      <c r="K1007" s="160"/>
      <c r="L1007" s="160"/>
      <c r="M1007" s="46"/>
      <c r="N1007" s="136"/>
      <c r="O1007" s="136"/>
      <c r="P1007" s="136"/>
      <c r="Q1007" s="136"/>
      <c r="R1007" s="136"/>
      <c r="S1007" s="136"/>
      <c r="T1007" s="136"/>
      <c r="U1007" s="136"/>
      <c r="V1007" s="136"/>
      <c r="W1007" s="136"/>
      <c r="X1007" s="136"/>
      <c r="Y1007" s="136"/>
      <c r="Z1007" s="136"/>
      <c r="AA1007" s="231"/>
    </row>
    <row r="1008" spans="1:27" x14ac:dyDescent="0.2">
      <c r="A1008" s="39"/>
      <c r="B1008" s="39"/>
      <c r="C1008" s="43"/>
      <c r="D1008" s="43"/>
      <c r="E1008" s="43"/>
      <c r="F1008" s="132"/>
      <c r="G1008" s="41" t="e">
        <f>VLOOKUP(F1008,Pcode!A:B,2,FALSE)</f>
        <v>#N/A</v>
      </c>
      <c r="H1008" s="41"/>
      <c r="I1008" s="41" t="e">
        <f>VLOOKUP(H1008,Pcode!C:D,2,FALSE)</f>
        <v>#N/A</v>
      </c>
      <c r="J1008" s="41"/>
      <c r="K1008" s="160"/>
      <c r="L1008" s="160"/>
      <c r="M1008" s="46"/>
      <c r="N1008" s="136"/>
      <c r="O1008" s="136"/>
      <c r="P1008" s="136"/>
      <c r="Q1008" s="136"/>
      <c r="R1008" s="136"/>
      <c r="S1008" s="136"/>
      <c r="T1008" s="136"/>
      <c r="U1008" s="136"/>
      <c r="V1008" s="136"/>
      <c r="W1008" s="136"/>
      <c r="X1008" s="136"/>
      <c r="Y1008" s="136"/>
      <c r="Z1008" s="136"/>
      <c r="AA1008" s="231"/>
    </row>
    <row r="1009" spans="1:27" x14ac:dyDescent="0.2">
      <c r="A1009" s="39"/>
      <c r="B1009" s="39"/>
      <c r="C1009" s="43"/>
      <c r="D1009" s="43"/>
      <c r="E1009" s="43"/>
      <c r="F1009" s="132"/>
      <c r="G1009" s="41" t="e">
        <f>VLOOKUP(F1009,Pcode!A:B,2,FALSE)</f>
        <v>#N/A</v>
      </c>
      <c r="H1009" s="41"/>
      <c r="I1009" s="41" t="e">
        <f>VLOOKUP(H1009,Pcode!C:D,2,FALSE)</f>
        <v>#N/A</v>
      </c>
      <c r="J1009" s="41"/>
      <c r="K1009" s="160"/>
      <c r="L1009" s="160"/>
      <c r="M1009" s="46"/>
      <c r="N1009" s="136"/>
      <c r="O1009" s="136"/>
      <c r="P1009" s="136"/>
      <c r="Q1009" s="136"/>
      <c r="R1009" s="136"/>
      <c r="S1009" s="136"/>
      <c r="T1009" s="136"/>
      <c r="U1009" s="136"/>
      <c r="V1009" s="136"/>
      <c r="W1009" s="136"/>
      <c r="X1009" s="136"/>
      <c r="Y1009" s="136"/>
      <c r="Z1009" s="136"/>
      <c r="AA1009" s="231"/>
    </row>
    <row r="1010" spans="1:27" x14ac:dyDescent="0.2">
      <c r="A1010" s="39"/>
      <c r="B1010" s="39"/>
      <c r="C1010" s="43"/>
      <c r="D1010" s="43"/>
      <c r="E1010" s="43"/>
      <c r="F1010" s="132"/>
      <c r="G1010" s="41" t="e">
        <f>VLOOKUP(F1010,Pcode!A:B,2,FALSE)</f>
        <v>#N/A</v>
      </c>
      <c r="H1010" s="41"/>
      <c r="I1010" s="41" t="e">
        <f>VLOOKUP(H1010,Pcode!C:D,2,FALSE)</f>
        <v>#N/A</v>
      </c>
      <c r="J1010" s="41"/>
      <c r="K1010" s="160"/>
      <c r="L1010" s="160"/>
      <c r="M1010" s="46"/>
      <c r="N1010" s="136"/>
      <c r="O1010" s="136"/>
      <c r="P1010" s="136"/>
      <c r="Q1010" s="136"/>
      <c r="R1010" s="136"/>
      <c r="S1010" s="136"/>
      <c r="T1010" s="136"/>
      <c r="U1010" s="136"/>
      <c r="V1010" s="136"/>
      <c r="W1010" s="136"/>
      <c r="X1010" s="136"/>
      <c r="Y1010" s="136"/>
      <c r="Z1010" s="136"/>
      <c r="AA1010" s="231"/>
    </row>
    <row r="1011" spans="1:27" x14ac:dyDescent="0.2">
      <c r="A1011" s="39"/>
      <c r="B1011" s="39"/>
      <c r="C1011" s="43"/>
      <c r="D1011" s="43"/>
      <c r="E1011" s="43"/>
      <c r="F1011" s="132"/>
      <c r="G1011" s="41" t="e">
        <f>VLOOKUP(F1011,Pcode!A:B,2,FALSE)</f>
        <v>#N/A</v>
      </c>
      <c r="H1011" s="41"/>
      <c r="I1011" s="41" t="e">
        <f>VLOOKUP(H1011,Pcode!C:D,2,FALSE)</f>
        <v>#N/A</v>
      </c>
      <c r="J1011" s="41"/>
      <c r="K1011" s="160"/>
      <c r="L1011" s="160"/>
      <c r="M1011" s="46"/>
      <c r="N1011" s="136"/>
      <c r="O1011" s="136"/>
      <c r="P1011" s="136"/>
      <c r="Q1011" s="136"/>
      <c r="R1011" s="136"/>
      <c r="S1011" s="136"/>
      <c r="T1011" s="136"/>
      <c r="U1011" s="136"/>
      <c r="V1011" s="136"/>
      <c r="W1011" s="136"/>
      <c r="X1011" s="136"/>
      <c r="Y1011" s="136"/>
      <c r="Z1011" s="136"/>
      <c r="AA1011" s="231"/>
    </row>
    <row r="1012" spans="1:27" x14ac:dyDescent="0.2">
      <c r="A1012" s="39"/>
      <c r="B1012" s="39"/>
      <c r="C1012" s="43"/>
      <c r="D1012" s="43"/>
      <c r="E1012" s="43"/>
      <c r="F1012" s="132"/>
      <c r="G1012" s="41" t="e">
        <f>VLOOKUP(F1012,Pcode!A:B,2,FALSE)</f>
        <v>#N/A</v>
      </c>
      <c r="H1012" s="41"/>
      <c r="I1012" s="41" t="e">
        <f>VLOOKUP(H1012,Pcode!C:D,2,FALSE)</f>
        <v>#N/A</v>
      </c>
      <c r="J1012" s="41"/>
      <c r="K1012" s="160"/>
      <c r="L1012" s="160"/>
      <c r="M1012" s="46"/>
      <c r="N1012" s="136"/>
      <c r="O1012" s="136"/>
      <c r="P1012" s="136"/>
      <c r="Q1012" s="136"/>
      <c r="R1012" s="136"/>
      <c r="S1012" s="136"/>
      <c r="T1012" s="136"/>
      <c r="U1012" s="136"/>
      <c r="V1012" s="136"/>
      <c r="W1012" s="136"/>
      <c r="X1012" s="136"/>
      <c r="Y1012" s="136"/>
      <c r="Z1012" s="136"/>
      <c r="AA1012" s="231"/>
    </row>
    <row r="1013" spans="1:27" x14ac:dyDescent="0.2">
      <c r="A1013" s="39"/>
      <c r="B1013" s="39"/>
      <c r="C1013" s="43"/>
      <c r="D1013" s="43"/>
      <c r="E1013" s="43"/>
      <c r="F1013" s="132"/>
      <c r="G1013" s="41" t="e">
        <f>VLOOKUP(F1013,Pcode!A:B,2,FALSE)</f>
        <v>#N/A</v>
      </c>
      <c r="H1013" s="41"/>
      <c r="I1013" s="41" t="e">
        <f>VLOOKUP(H1013,Pcode!C:D,2,FALSE)</f>
        <v>#N/A</v>
      </c>
      <c r="J1013" s="41"/>
      <c r="K1013" s="160"/>
      <c r="L1013" s="160"/>
      <c r="M1013" s="46"/>
      <c r="N1013" s="136"/>
      <c r="O1013" s="136"/>
      <c r="P1013" s="136"/>
      <c r="Q1013" s="136"/>
      <c r="R1013" s="136"/>
      <c r="S1013" s="136"/>
      <c r="T1013" s="136"/>
      <c r="U1013" s="136"/>
      <c r="V1013" s="136"/>
      <c r="W1013" s="136"/>
      <c r="X1013" s="136"/>
      <c r="Y1013" s="136"/>
      <c r="Z1013" s="136"/>
      <c r="AA1013" s="231"/>
    </row>
    <row r="1014" spans="1:27" x14ac:dyDescent="0.2">
      <c r="A1014" s="39"/>
      <c r="B1014" s="39"/>
      <c r="C1014" s="43"/>
      <c r="D1014" s="43"/>
      <c r="E1014" s="43"/>
      <c r="F1014" s="132"/>
      <c r="G1014" s="41" t="e">
        <f>VLOOKUP(F1014,Pcode!A:B,2,FALSE)</f>
        <v>#N/A</v>
      </c>
      <c r="H1014" s="41"/>
      <c r="I1014" s="41" t="e">
        <f>VLOOKUP(H1014,Pcode!C:D,2,FALSE)</f>
        <v>#N/A</v>
      </c>
      <c r="J1014" s="41"/>
      <c r="K1014" s="160"/>
      <c r="L1014" s="160"/>
      <c r="M1014" s="46"/>
      <c r="N1014" s="136"/>
      <c r="O1014" s="136"/>
      <c r="P1014" s="136"/>
      <c r="Q1014" s="136"/>
      <c r="R1014" s="136"/>
      <c r="S1014" s="136"/>
      <c r="T1014" s="136"/>
      <c r="U1014" s="136"/>
      <c r="V1014" s="136"/>
      <c r="W1014" s="136"/>
      <c r="X1014" s="136"/>
      <c r="Y1014" s="136"/>
      <c r="Z1014" s="136"/>
      <c r="AA1014" s="231"/>
    </row>
    <row r="1015" spans="1:27" x14ac:dyDescent="0.2">
      <c r="A1015" s="39"/>
      <c r="B1015" s="39"/>
      <c r="C1015" s="43"/>
      <c r="D1015" s="43"/>
      <c r="E1015" s="43"/>
      <c r="F1015" s="132"/>
      <c r="G1015" s="41" t="e">
        <f>VLOOKUP(F1015,Pcode!A:B,2,FALSE)</f>
        <v>#N/A</v>
      </c>
      <c r="H1015" s="41"/>
      <c r="I1015" s="41" t="e">
        <f>VLOOKUP(H1015,Pcode!C:D,2,FALSE)</f>
        <v>#N/A</v>
      </c>
      <c r="J1015" s="41"/>
      <c r="K1015" s="160"/>
      <c r="L1015" s="160"/>
      <c r="M1015" s="46"/>
      <c r="N1015" s="136"/>
      <c r="O1015" s="136"/>
      <c r="P1015" s="136"/>
      <c r="Q1015" s="136"/>
      <c r="R1015" s="136"/>
      <c r="S1015" s="136"/>
      <c r="T1015" s="136"/>
      <c r="U1015" s="136"/>
      <c r="V1015" s="136"/>
      <c r="W1015" s="136"/>
      <c r="X1015" s="136"/>
      <c r="Y1015" s="136"/>
      <c r="Z1015" s="136"/>
      <c r="AA1015" s="231"/>
    </row>
    <row r="1016" spans="1:27" x14ac:dyDescent="0.2">
      <c r="A1016" s="39"/>
      <c r="B1016" s="39"/>
      <c r="C1016" s="43"/>
      <c r="D1016" s="43"/>
      <c r="E1016" s="43"/>
      <c r="F1016" s="132"/>
      <c r="G1016" s="41" t="e">
        <f>VLOOKUP(F1016,Pcode!A:B,2,FALSE)</f>
        <v>#N/A</v>
      </c>
      <c r="H1016" s="41"/>
      <c r="I1016" s="41" t="e">
        <f>VLOOKUP(H1016,Pcode!C:D,2,FALSE)</f>
        <v>#N/A</v>
      </c>
      <c r="J1016" s="41"/>
      <c r="K1016" s="160"/>
      <c r="L1016" s="160"/>
      <c r="M1016" s="46"/>
      <c r="N1016" s="136"/>
      <c r="O1016" s="136"/>
      <c r="P1016" s="136"/>
      <c r="Q1016" s="136"/>
      <c r="R1016" s="136"/>
      <c r="S1016" s="136"/>
      <c r="T1016" s="136"/>
      <c r="U1016" s="136"/>
      <c r="V1016" s="136"/>
      <c r="W1016" s="136"/>
      <c r="X1016" s="136"/>
      <c r="Y1016" s="136"/>
      <c r="Z1016" s="136"/>
      <c r="AA1016" s="231"/>
    </row>
    <row r="1017" spans="1:27" x14ac:dyDescent="0.2">
      <c r="A1017" s="39"/>
      <c r="B1017" s="39"/>
      <c r="C1017" s="43"/>
      <c r="D1017" s="43"/>
      <c r="E1017" s="43"/>
      <c r="F1017" s="132"/>
      <c r="G1017" s="41" t="e">
        <f>VLOOKUP(F1017,Pcode!A:B,2,FALSE)</f>
        <v>#N/A</v>
      </c>
      <c r="H1017" s="41"/>
      <c r="I1017" s="41" t="e">
        <f>VLOOKUP(H1017,Pcode!C:D,2,FALSE)</f>
        <v>#N/A</v>
      </c>
      <c r="J1017" s="41"/>
      <c r="K1017" s="160"/>
      <c r="L1017" s="160"/>
      <c r="M1017" s="46"/>
      <c r="N1017" s="136"/>
      <c r="O1017" s="136"/>
      <c r="P1017" s="136"/>
      <c r="Q1017" s="136"/>
      <c r="R1017" s="136"/>
      <c r="S1017" s="136"/>
      <c r="T1017" s="136"/>
      <c r="U1017" s="136"/>
      <c r="V1017" s="136"/>
      <c r="W1017" s="136"/>
      <c r="X1017" s="136"/>
      <c r="Y1017" s="136"/>
      <c r="Z1017" s="136"/>
      <c r="AA1017" s="231"/>
    </row>
    <row r="1018" spans="1:27" x14ac:dyDescent="0.2">
      <c r="A1018" s="39"/>
      <c r="B1018" s="39"/>
      <c r="C1018" s="43"/>
      <c r="D1018" s="43"/>
      <c r="E1018" s="43"/>
      <c r="F1018" s="132"/>
      <c r="G1018" s="41" t="e">
        <f>VLOOKUP(F1018,Pcode!A:B,2,FALSE)</f>
        <v>#N/A</v>
      </c>
      <c r="H1018" s="41"/>
      <c r="I1018" s="41" t="e">
        <f>VLOOKUP(H1018,Pcode!C:D,2,FALSE)</f>
        <v>#N/A</v>
      </c>
      <c r="J1018" s="41"/>
      <c r="K1018" s="160"/>
      <c r="L1018" s="160"/>
      <c r="M1018" s="46"/>
      <c r="N1018" s="136"/>
      <c r="O1018" s="136"/>
      <c r="P1018" s="136"/>
      <c r="Q1018" s="136"/>
      <c r="R1018" s="136"/>
      <c r="S1018" s="136"/>
      <c r="T1018" s="136"/>
      <c r="U1018" s="136"/>
      <c r="V1018" s="136"/>
      <c r="W1018" s="136"/>
      <c r="X1018" s="136"/>
      <c r="Y1018" s="136"/>
      <c r="Z1018" s="136"/>
      <c r="AA1018" s="231"/>
    </row>
    <row r="1019" spans="1:27" x14ac:dyDescent="0.2">
      <c r="A1019" s="39"/>
      <c r="B1019" s="39"/>
      <c r="C1019" s="43"/>
      <c r="D1019" s="43"/>
      <c r="E1019" s="43"/>
      <c r="F1019" s="132"/>
      <c r="G1019" s="41" t="e">
        <f>VLOOKUP(F1019,Pcode!A:B,2,FALSE)</f>
        <v>#N/A</v>
      </c>
      <c r="H1019" s="41"/>
      <c r="I1019" s="41" t="e">
        <f>VLOOKUP(H1019,Pcode!C:D,2,FALSE)</f>
        <v>#N/A</v>
      </c>
      <c r="J1019" s="41"/>
      <c r="K1019" s="160"/>
      <c r="L1019" s="160"/>
      <c r="M1019" s="46"/>
      <c r="N1019" s="136"/>
      <c r="O1019" s="136"/>
      <c r="P1019" s="136"/>
      <c r="Q1019" s="136"/>
      <c r="R1019" s="136"/>
      <c r="S1019" s="136"/>
      <c r="T1019" s="136"/>
      <c r="U1019" s="136"/>
      <c r="V1019" s="136"/>
      <c r="W1019" s="136"/>
      <c r="X1019" s="136"/>
      <c r="Y1019" s="136"/>
      <c r="Z1019" s="136"/>
      <c r="AA1019" s="231"/>
    </row>
    <row r="1020" spans="1:27" x14ac:dyDescent="0.2">
      <c r="A1020" s="39"/>
      <c r="B1020" s="39"/>
      <c r="C1020" s="43"/>
      <c r="D1020" s="43"/>
      <c r="E1020" s="43"/>
      <c r="F1020" s="132"/>
      <c r="G1020" s="41" t="e">
        <f>VLOOKUP(F1020,Pcode!A:B,2,FALSE)</f>
        <v>#N/A</v>
      </c>
      <c r="H1020" s="41"/>
      <c r="I1020" s="41" t="e">
        <f>VLOOKUP(H1020,Pcode!C:D,2,FALSE)</f>
        <v>#N/A</v>
      </c>
      <c r="J1020" s="41"/>
      <c r="K1020" s="160"/>
      <c r="L1020" s="160"/>
      <c r="M1020" s="46"/>
      <c r="N1020" s="136"/>
      <c r="O1020" s="136"/>
      <c r="P1020" s="136"/>
      <c r="Q1020" s="136"/>
      <c r="R1020" s="136"/>
      <c r="S1020" s="136"/>
      <c r="T1020" s="136"/>
      <c r="U1020" s="136"/>
      <c r="V1020" s="136"/>
      <c r="W1020" s="136"/>
      <c r="X1020" s="136"/>
      <c r="Y1020" s="136"/>
      <c r="Z1020" s="136"/>
      <c r="AA1020" s="231"/>
    </row>
    <row r="1021" spans="1:27" x14ac:dyDescent="0.2">
      <c r="A1021" s="39"/>
      <c r="B1021" s="39"/>
      <c r="C1021" s="43"/>
      <c r="D1021" s="43"/>
      <c r="E1021" s="43"/>
      <c r="F1021" s="132"/>
      <c r="G1021" s="41" t="e">
        <f>VLOOKUP(F1021,Pcode!A:B,2,FALSE)</f>
        <v>#N/A</v>
      </c>
      <c r="H1021" s="41"/>
      <c r="I1021" s="41" t="e">
        <f>VLOOKUP(H1021,Pcode!C:D,2,FALSE)</f>
        <v>#N/A</v>
      </c>
      <c r="J1021" s="41"/>
      <c r="K1021" s="160"/>
      <c r="L1021" s="160"/>
      <c r="M1021" s="46"/>
      <c r="N1021" s="136"/>
      <c r="O1021" s="136"/>
      <c r="P1021" s="136"/>
      <c r="Q1021" s="136"/>
      <c r="R1021" s="136"/>
      <c r="S1021" s="136"/>
      <c r="T1021" s="136"/>
      <c r="U1021" s="136"/>
      <c r="V1021" s="136"/>
      <c r="W1021" s="136"/>
      <c r="X1021" s="136"/>
      <c r="Y1021" s="136"/>
      <c r="Z1021" s="136"/>
      <c r="AA1021" s="231"/>
    </row>
    <row r="1022" spans="1:27" x14ac:dyDescent="0.2">
      <c r="A1022" s="39"/>
      <c r="B1022" s="39"/>
      <c r="C1022" s="43"/>
      <c r="D1022" s="43"/>
      <c r="E1022" s="43"/>
      <c r="F1022" s="132"/>
      <c r="G1022" s="41" t="e">
        <f>VLOOKUP(F1022,Pcode!A:B,2,FALSE)</f>
        <v>#N/A</v>
      </c>
      <c r="H1022" s="41"/>
      <c r="I1022" s="41" t="e">
        <f>VLOOKUP(H1022,Pcode!C:D,2,FALSE)</f>
        <v>#N/A</v>
      </c>
      <c r="J1022" s="41"/>
      <c r="K1022" s="160"/>
      <c r="L1022" s="160"/>
      <c r="M1022" s="46"/>
      <c r="N1022" s="136"/>
      <c r="O1022" s="136"/>
      <c r="P1022" s="136"/>
      <c r="Q1022" s="136"/>
      <c r="R1022" s="136"/>
      <c r="S1022" s="136"/>
      <c r="T1022" s="136"/>
      <c r="U1022" s="136"/>
      <c r="V1022" s="136"/>
      <c r="W1022" s="136"/>
      <c r="X1022" s="136"/>
      <c r="Y1022" s="136"/>
      <c r="Z1022" s="136"/>
      <c r="AA1022" s="231"/>
    </row>
    <row r="1023" spans="1:27" x14ac:dyDescent="0.2">
      <c r="A1023" s="39"/>
      <c r="B1023" s="39"/>
      <c r="C1023" s="43"/>
      <c r="D1023" s="43"/>
      <c r="E1023" s="43"/>
      <c r="F1023" s="132"/>
      <c r="G1023" s="41" t="e">
        <f>VLOOKUP(F1023,Pcode!A:B,2,FALSE)</f>
        <v>#N/A</v>
      </c>
      <c r="H1023" s="41"/>
      <c r="I1023" s="41" t="e">
        <f>VLOOKUP(H1023,Pcode!C:D,2,FALSE)</f>
        <v>#N/A</v>
      </c>
      <c r="J1023" s="41"/>
      <c r="K1023" s="160"/>
      <c r="L1023" s="160"/>
      <c r="M1023" s="46"/>
      <c r="N1023" s="136"/>
      <c r="O1023" s="136"/>
      <c r="P1023" s="136"/>
      <c r="Q1023" s="136"/>
      <c r="R1023" s="136"/>
      <c r="S1023" s="136"/>
      <c r="T1023" s="136"/>
      <c r="U1023" s="136"/>
      <c r="V1023" s="136"/>
      <c r="W1023" s="136"/>
      <c r="X1023" s="136"/>
      <c r="Y1023" s="136"/>
      <c r="Z1023" s="136"/>
      <c r="AA1023" s="231"/>
    </row>
    <row r="1024" spans="1:27" x14ac:dyDescent="0.2">
      <c r="A1024" s="39"/>
      <c r="B1024" s="39"/>
      <c r="C1024" s="43"/>
      <c r="D1024" s="43"/>
      <c r="E1024" s="43"/>
      <c r="F1024" s="132"/>
      <c r="G1024" s="41" t="e">
        <f>VLOOKUP(F1024,Pcode!A:B,2,FALSE)</f>
        <v>#N/A</v>
      </c>
      <c r="H1024" s="41"/>
      <c r="I1024" s="41" t="e">
        <f>VLOOKUP(H1024,Pcode!C:D,2,FALSE)</f>
        <v>#N/A</v>
      </c>
      <c r="J1024" s="41"/>
      <c r="K1024" s="160"/>
      <c r="L1024" s="160"/>
      <c r="M1024" s="46"/>
      <c r="N1024" s="136"/>
      <c r="O1024" s="136"/>
      <c r="P1024" s="136"/>
      <c r="Q1024" s="136"/>
      <c r="R1024" s="136"/>
      <c r="S1024" s="136"/>
      <c r="T1024" s="136"/>
      <c r="U1024" s="136"/>
      <c r="V1024" s="136"/>
      <c r="W1024" s="136"/>
      <c r="X1024" s="136"/>
      <c r="Y1024" s="136"/>
      <c r="Z1024" s="136"/>
      <c r="AA1024" s="231"/>
    </row>
    <row r="1025" spans="1:27" x14ac:dyDescent="0.2">
      <c r="A1025" s="39"/>
      <c r="B1025" s="39"/>
      <c r="C1025" s="43"/>
      <c r="D1025" s="43"/>
      <c r="E1025" s="43"/>
      <c r="F1025" s="132"/>
      <c r="G1025" s="41" t="e">
        <f>VLOOKUP(F1025,Pcode!A:B,2,FALSE)</f>
        <v>#N/A</v>
      </c>
      <c r="H1025" s="41"/>
      <c r="I1025" s="41" t="e">
        <f>VLOOKUP(H1025,Pcode!C:D,2,FALSE)</f>
        <v>#N/A</v>
      </c>
      <c r="J1025" s="41"/>
      <c r="K1025" s="160"/>
      <c r="L1025" s="160"/>
      <c r="M1025" s="46"/>
      <c r="N1025" s="136"/>
      <c r="O1025" s="136"/>
      <c r="P1025" s="136"/>
      <c r="Q1025" s="136"/>
      <c r="R1025" s="136"/>
      <c r="S1025" s="136"/>
      <c r="T1025" s="136"/>
      <c r="U1025" s="136"/>
      <c r="V1025" s="136"/>
      <c r="W1025" s="136"/>
      <c r="X1025" s="136"/>
      <c r="Y1025" s="136"/>
      <c r="Z1025" s="136"/>
      <c r="AA1025" s="231"/>
    </row>
    <row r="1026" spans="1:27" x14ac:dyDescent="0.2">
      <c r="A1026" s="39"/>
      <c r="B1026" s="39"/>
      <c r="C1026" s="43"/>
      <c r="D1026" s="43"/>
      <c r="E1026" s="43"/>
      <c r="F1026" s="132"/>
      <c r="G1026" s="41" t="e">
        <f>VLOOKUP(F1026,Pcode!A:B,2,FALSE)</f>
        <v>#N/A</v>
      </c>
      <c r="H1026" s="41"/>
      <c r="I1026" s="41" t="e">
        <f>VLOOKUP(H1026,Pcode!C:D,2,FALSE)</f>
        <v>#N/A</v>
      </c>
      <c r="J1026" s="41"/>
      <c r="K1026" s="160"/>
      <c r="L1026" s="160"/>
      <c r="M1026" s="46"/>
      <c r="N1026" s="136"/>
      <c r="O1026" s="136"/>
      <c r="P1026" s="136"/>
      <c r="Q1026" s="136"/>
      <c r="R1026" s="136"/>
      <c r="S1026" s="136"/>
      <c r="T1026" s="136"/>
      <c r="U1026" s="136"/>
      <c r="V1026" s="136"/>
      <c r="W1026" s="136"/>
      <c r="X1026" s="136"/>
      <c r="Y1026" s="136"/>
      <c r="Z1026" s="136"/>
      <c r="AA1026" s="231"/>
    </row>
    <row r="1027" spans="1:27" x14ac:dyDescent="0.2">
      <c r="A1027" s="39"/>
      <c r="B1027" s="39"/>
      <c r="C1027" s="43"/>
      <c r="D1027" s="43"/>
      <c r="E1027" s="43"/>
      <c r="F1027" s="132"/>
      <c r="G1027" s="41" t="e">
        <f>VLOOKUP(F1027,Pcode!A:B,2,FALSE)</f>
        <v>#N/A</v>
      </c>
      <c r="H1027" s="41"/>
      <c r="I1027" s="41" t="e">
        <f>VLOOKUP(H1027,Pcode!C:D,2,FALSE)</f>
        <v>#N/A</v>
      </c>
      <c r="J1027" s="41"/>
      <c r="K1027" s="160"/>
      <c r="L1027" s="160"/>
      <c r="M1027" s="46"/>
      <c r="N1027" s="136"/>
      <c r="O1027" s="136"/>
      <c r="P1027" s="136"/>
      <c r="Q1027" s="136"/>
      <c r="R1027" s="136"/>
      <c r="S1027" s="136"/>
      <c r="T1027" s="136"/>
      <c r="U1027" s="136"/>
      <c r="V1027" s="136"/>
      <c r="W1027" s="136"/>
      <c r="X1027" s="136"/>
      <c r="Y1027" s="136"/>
      <c r="Z1027" s="136"/>
      <c r="AA1027" s="231"/>
    </row>
    <row r="1028" spans="1:27" x14ac:dyDescent="0.2">
      <c r="A1028" s="39"/>
      <c r="B1028" s="39"/>
      <c r="C1028" s="43"/>
      <c r="D1028" s="43"/>
      <c r="E1028" s="43"/>
      <c r="F1028" s="132"/>
      <c r="G1028" s="41" t="e">
        <f>VLOOKUP(F1028,Pcode!A:B,2,FALSE)</f>
        <v>#N/A</v>
      </c>
      <c r="H1028" s="41"/>
      <c r="I1028" s="41" t="e">
        <f>VLOOKUP(H1028,Pcode!C:D,2,FALSE)</f>
        <v>#N/A</v>
      </c>
      <c r="J1028" s="41"/>
      <c r="K1028" s="160"/>
      <c r="L1028" s="160"/>
      <c r="M1028" s="46"/>
      <c r="N1028" s="136"/>
      <c r="O1028" s="136"/>
      <c r="P1028" s="136"/>
      <c r="Q1028" s="136"/>
      <c r="R1028" s="136"/>
      <c r="S1028" s="136"/>
      <c r="T1028" s="136"/>
      <c r="U1028" s="136"/>
      <c r="V1028" s="136"/>
      <c r="W1028" s="136"/>
      <c r="X1028" s="136"/>
      <c r="Y1028" s="136"/>
      <c r="Z1028" s="136"/>
      <c r="AA1028" s="231"/>
    </row>
    <row r="1029" spans="1:27" x14ac:dyDescent="0.2">
      <c r="A1029" s="39"/>
      <c r="B1029" s="39"/>
      <c r="C1029" s="43"/>
      <c r="D1029" s="43"/>
      <c r="E1029" s="43"/>
      <c r="F1029" s="132"/>
      <c r="G1029" s="41" t="e">
        <f>VLOOKUP(F1029,Pcode!A:B,2,FALSE)</f>
        <v>#N/A</v>
      </c>
      <c r="H1029" s="41"/>
      <c r="I1029" s="41" t="e">
        <f>VLOOKUP(H1029,Pcode!C:D,2,FALSE)</f>
        <v>#N/A</v>
      </c>
      <c r="J1029" s="41"/>
      <c r="K1029" s="160"/>
      <c r="L1029" s="160"/>
      <c r="M1029" s="46"/>
      <c r="N1029" s="136"/>
      <c r="O1029" s="136"/>
      <c r="P1029" s="136"/>
      <c r="Q1029" s="136"/>
      <c r="R1029" s="136"/>
      <c r="S1029" s="136"/>
      <c r="T1029" s="136"/>
      <c r="U1029" s="136"/>
      <c r="V1029" s="136"/>
      <c r="W1029" s="136"/>
      <c r="X1029" s="136"/>
      <c r="Y1029" s="136"/>
      <c r="Z1029" s="136"/>
      <c r="AA1029" s="231"/>
    </row>
    <row r="1030" spans="1:27" x14ac:dyDescent="0.2">
      <c r="A1030" s="39"/>
      <c r="B1030" s="39"/>
      <c r="C1030" s="43"/>
      <c r="D1030" s="43"/>
      <c r="E1030" s="43"/>
      <c r="F1030" s="132"/>
      <c r="G1030" s="41" t="e">
        <f>VLOOKUP(F1030,Pcode!A:B,2,FALSE)</f>
        <v>#N/A</v>
      </c>
      <c r="H1030" s="41"/>
      <c r="I1030" s="41" t="e">
        <f>VLOOKUP(H1030,Pcode!C:D,2,FALSE)</f>
        <v>#N/A</v>
      </c>
      <c r="J1030" s="41"/>
      <c r="K1030" s="160"/>
      <c r="L1030" s="160"/>
      <c r="M1030" s="46"/>
      <c r="N1030" s="136"/>
      <c r="O1030" s="136"/>
      <c r="P1030" s="136"/>
      <c r="Q1030" s="136"/>
      <c r="R1030" s="136"/>
      <c r="S1030" s="136"/>
      <c r="T1030" s="136"/>
      <c r="U1030" s="136"/>
      <c r="V1030" s="136"/>
      <c r="W1030" s="136"/>
      <c r="X1030" s="136"/>
      <c r="Y1030" s="136"/>
      <c r="Z1030" s="136"/>
      <c r="AA1030" s="231"/>
    </row>
    <row r="1031" spans="1:27" x14ac:dyDescent="0.2">
      <c r="A1031" s="39"/>
      <c r="B1031" s="39"/>
      <c r="C1031" s="43"/>
      <c r="D1031" s="43"/>
      <c r="E1031" s="43"/>
      <c r="F1031" s="132"/>
      <c r="G1031" s="41" t="e">
        <f>VLOOKUP(F1031,Pcode!A:B,2,FALSE)</f>
        <v>#N/A</v>
      </c>
      <c r="H1031" s="41"/>
      <c r="I1031" s="41" t="e">
        <f>VLOOKUP(H1031,Pcode!C:D,2,FALSE)</f>
        <v>#N/A</v>
      </c>
      <c r="J1031" s="41"/>
      <c r="K1031" s="160"/>
      <c r="L1031" s="160"/>
      <c r="M1031" s="46"/>
      <c r="N1031" s="136"/>
      <c r="O1031" s="136"/>
      <c r="P1031" s="136"/>
      <c r="Q1031" s="136"/>
      <c r="R1031" s="136"/>
      <c r="S1031" s="136"/>
      <c r="T1031" s="136"/>
      <c r="U1031" s="136"/>
      <c r="V1031" s="136"/>
      <c r="W1031" s="136"/>
      <c r="X1031" s="136"/>
      <c r="Y1031" s="136"/>
      <c r="Z1031" s="136"/>
      <c r="AA1031" s="231"/>
    </row>
    <row r="1032" spans="1:27" x14ac:dyDescent="0.2">
      <c r="A1032" s="39"/>
      <c r="B1032" s="39"/>
      <c r="C1032" s="43"/>
      <c r="D1032" s="43"/>
      <c r="E1032" s="43"/>
      <c r="F1032" s="132"/>
      <c r="G1032" s="41" t="e">
        <f>VLOOKUP(F1032,Pcode!A:B,2,FALSE)</f>
        <v>#N/A</v>
      </c>
      <c r="H1032" s="41"/>
      <c r="I1032" s="41" t="e">
        <f>VLOOKUP(H1032,Pcode!C:D,2,FALSE)</f>
        <v>#N/A</v>
      </c>
      <c r="J1032" s="41"/>
      <c r="K1032" s="160"/>
      <c r="L1032" s="160"/>
      <c r="M1032" s="46"/>
      <c r="N1032" s="136"/>
      <c r="O1032" s="136"/>
      <c r="P1032" s="136"/>
      <c r="Q1032" s="136"/>
      <c r="R1032" s="136"/>
      <c r="S1032" s="136"/>
      <c r="T1032" s="136"/>
      <c r="U1032" s="136"/>
      <c r="V1032" s="136"/>
      <c r="W1032" s="136"/>
      <c r="X1032" s="136"/>
      <c r="Y1032" s="136"/>
      <c r="Z1032" s="136"/>
      <c r="AA1032" s="231"/>
    </row>
    <row r="1033" spans="1:27" x14ac:dyDescent="0.2">
      <c r="A1033" s="39"/>
      <c r="B1033" s="39"/>
      <c r="C1033" s="43"/>
      <c r="D1033" s="43"/>
      <c r="E1033" s="43"/>
      <c r="F1033" s="132"/>
      <c r="G1033" s="41" t="e">
        <f>VLOOKUP(F1033,Pcode!A:B,2,FALSE)</f>
        <v>#N/A</v>
      </c>
      <c r="H1033" s="41"/>
      <c r="I1033" s="41" t="e">
        <f>VLOOKUP(H1033,Pcode!C:D,2,FALSE)</f>
        <v>#N/A</v>
      </c>
      <c r="J1033" s="41"/>
      <c r="K1033" s="160"/>
      <c r="L1033" s="160"/>
      <c r="M1033" s="46"/>
      <c r="N1033" s="136"/>
      <c r="O1033" s="136"/>
      <c r="P1033" s="136"/>
      <c r="Q1033" s="136"/>
      <c r="R1033" s="136"/>
      <c r="S1033" s="136"/>
      <c r="T1033" s="136"/>
      <c r="U1033" s="136"/>
      <c r="V1033" s="136"/>
      <c r="W1033" s="136"/>
      <c r="X1033" s="136"/>
      <c r="Y1033" s="136"/>
      <c r="Z1033" s="136"/>
      <c r="AA1033" s="231"/>
    </row>
    <row r="1034" spans="1:27" x14ac:dyDescent="0.2">
      <c r="A1034" s="39"/>
      <c r="B1034" s="39"/>
      <c r="C1034" s="43"/>
      <c r="D1034" s="43"/>
      <c r="E1034" s="43"/>
      <c r="F1034" s="132"/>
      <c r="G1034" s="41" t="e">
        <f>VLOOKUP(F1034,Pcode!A:B,2,FALSE)</f>
        <v>#N/A</v>
      </c>
      <c r="H1034" s="41"/>
      <c r="I1034" s="41" t="e">
        <f>VLOOKUP(H1034,Pcode!C:D,2,FALSE)</f>
        <v>#N/A</v>
      </c>
      <c r="J1034" s="41"/>
      <c r="K1034" s="160"/>
      <c r="L1034" s="160"/>
      <c r="M1034" s="46"/>
      <c r="N1034" s="136"/>
      <c r="O1034" s="136"/>
      <c r="P1034" s="136"/>
      <c r="Q1034" s="136"/>
      <c r="R1034" s="136"/>
      <c r="S1034" s="136"/>
      <c r="T1034" s="136"/>
      <c r="U1034" s="136"/>
      <c r="V1034" s="136"/>
      <c r="W1034" s="136"/>
      <c r="X1034" s="136"/>
      <c r="Y1034" s="136"/>
      <c r="Z1034" s="136"/>
      <c r="AA1034" s="231"/>
    </row>
    <row r="1035" spans="1:27" x14ac:dyDescent="0.2">
      <c r="A1035" s="39"/>
      <c r="B1035" s="39"/>
      <c r="C1035" s="43"/>
      <c r="D1035" s="43"/>
      <c r="E1035" s="43"/>
      <c r="F1035" s="132"/>
      <c r="G1035" s="41" t="e">
        <f>VLOOKUP(F1035,Pcode!A:B,2,FALSE)</f>
        <v>#N/A</v>
      </c>
      <c r="H1035" s="41"/>
      <c r="I1035" s="41" t="e">
        <f>VLOOKUP(H1035,Pcode!C:D,2,FALSE)</f>
        <v>#N/A</v>
      </c>
      <c r="J1035" s="41"/>
      <c r="K1035" s="160"/>
      <c r="L1035" s="160"/>
      <c r="M1035" s="46"/>
      <c r="N1035" s="136"/>
      <c r="O1035" s="136"/>
      <c r="P1035" s="136"/>
      <c r="Q1035" s="136"/>
      <c r="R1035" s="136"/>
      <c r="S1035" s="136"/>
      <c r="T1035" s="136"/>
      <c r="U1035" s="136"/>
      <c r="V1035" s="136"/>
      <c r="W1035" s="136"/>
      <c r="X1035" s="136"/>
      <c r="Y1035" s="136"/>
      <c r="Z1035" s="136"/>
      <c r="AA1035" s="231"/>
    </row>
    <row r="1036" spans="1:27" x14ac:dyDescent="0.2">
      <c r="A1036" s="39"/>
      <c r="B1036" s="39"/>
      <c r="C1036" s="43"/>
      <c r="D1036" s="43"/>
      <c r="E1036" s="43"/>
      <c r="F1036" s="132"/>
      <c r="G1036" s="41" t="e">
        <f>VLOOKUP(F1036,Pcode!A:B,2,FALSE)</f>
        <v>#N/A</v>
      </c>
      <c r="H1036" s="41"/>
      <c r="I1036" s="41" t="e">
        <f>VLOOKUP(H1036,Pcode!C:D,2,FALSE)</f>
        <v>#N/A</v>
      </c>
      <c r="J1036" s="41"/>
      <c r="K1036" s="160"/>
      <c r="L1036" s="160"/>
      <c r="M1036" s="46"/>
      <c r="N1036" s="136"/>
      <c r="O1036" s="136"/>
      <c r="P1036" s="136"/>
      <c r="Q1036" s="136"/>
      <c r="R1036" s="136"/>
      <c r="S1036" s="136"/>
      <c r="T1036" s="136"/>
      <c r="U1036" s="136"/>
      <c r="V1036" s="136"/>
      <c r="W1036" s="136"/>
      <c r="X1036" s="136"/>
      <c r="Y1036" s="136"/>
      <c r="Z1036" s="136"/>
      <c r="AA1036" s="231"/>
    </row>
    <row r="1037" spans="1:27" x14ac:dyDescent="0.2">
      <c r="A1037" s="39"/>
      <c r="B1037" s="39"/>
      <c r="C1037" s="43"/>
      <c r="D1037" s="43"/>
      <c r="E1037" s="43"/>
      <c r="F1037" s="132"/>
      <c r="G1037" s="41" t="e">
        <f>VLOOKUP(F1037,Pcode!A:B,2,FALSE)</f>
        <v>#N/A</v>
      </c>
      <c r="H1037" s="41"/>
      <c r="I1037" s="41" t="e">
        <f>VLOOKUP(H1037,Pcode!C:D,2,FALSE)</f>
        <v>#N/A</v>
      </c>
      <c r="J1037" s="41"/>
      <c r="K1037" s="160"/>
      <c r="L1037" s="160"/>
      <c r="M1037" s="46"/>
      <c r="N1037" s="136"/>
      <c r="O1037" s="136"/>
      <c r="P1037" s="136"/>
      <c r="Q1037" s="136"/>
      <c r="R1037" s="136"/>
      <c r="S1037" s="136"/>
      <c r="T1037" s="136"/>
      <c r="U1037" s="136"/>
      <c r="V1037" s="136"/>
      <c r="W1037" s="136"/>
      <c r="X1037" s="136"/>
      <c r="Y1037" s="136"/>
      <c r="Z1037" s="136"/>
      <c r="AA1037" s="231"/>
    </row>
    <row r="1038" spans="1:27" x14ac:dyDescent="0.2">
      <c r="A1038" s="39"/>
      <c r="B1038" s="39"/>
      <c r="C1038" s="43"/>
      <c r="D1038" s="43"/>
      <c r="E1038" s="43"/>
      <c r="F1038" s="132"/>
      <c r="G1038" s="41" t="e">
        <f>VLOOKUP(F1038,Pcode!A:B,2,FALSE)</f>
        <v>#N/A</v>
      </c>
      <c r="H1038" s="41"/>
      <c r="I1038" s="41" t="e">
        <f>VLOOKUP(H1038,Pcode!C:D,2,FALSE)</f>
        <v>#N/A</v>
      </c>
      <c r="J1038" s="41"/>
      <c r="K1038" s="160"/>
      <c r="L1038" s="160"/>
      <c r="M1038" s="46"/>
      <c r="N1038" s="136"/>
      <c r="O1038" s="136"/>
      <c r="P1038" s="136"/>
      <c r="Q1038" s="136"/>
      <c r="R1038" s="136"/>
      <c r="S1038" s="136"/>
      <c r="T1038" s="136"/>
      <c r="U1038" s="136"/>
      <c r="V1038" s="136"/>
      <c r="W1038" s="136"/>
      <c r="X1038" s="136"/>
      <c r="Y1038" s="136"/>
      <c r="Z1038" s="136"/>
      <c r="AA1038" s="231"/>
    </row>
    <row r="1039" spans="1:27" x14ac:dyDescent="0.2">
      <c r="A1039" s="39"/>
      <c r="B1039" s="39"/>
      <c r="C1039" s="43"/>
      <c r="D1039" s="43"/>
      <c r="E1039" s="43"/>
      <c r="F1039" s="132"/>
      <c r="G1039" s="41" t="e">
        <f>VLOOKUP(F1039,Pcode!A:B,2,FALSE)</f>
        <v>#N/A</v>
      </c>
      <c r="H1039" s="41"/>
      <c r="I1039" s="41" t="e">
        <f>VLOOKUP(H1039,Pcode!C:D,2,FALSE)</f>
        <v>#N/A</v>
      </c>
      <c r="J1039" s="41"/>
      <c r="K1039" s="160"/>
      <c r="L1039" s="160"/>
      <c r="M1039" s="46"/>
      <c r="N1039" s="136"/>
      <c r="O1039" s="136"/>
      <c r="P1039" s="136"/>
      <c r="Q1039" s="136"/>
      <c r="R1039" s="136"/>
      <c r="S1039" s="136"/>
      <c r="T1039" s="136"/>
      <c r="U1039" s="136"/>
      <c r="V1039" s="136"/>
      <c r="W1039" s="136"/>
      <c r="X1039" s="136"/>
      <c r="Y1039" s="136"/>
      <c r="Z1039" s="136"/>
      <c r="AA1039" s="231"/>
    </row>
    <row r="1040" spans="1:27" x14ac:dyDescent="0.2">
      <c r="A1040" s="39"/>
      <c r="B1040" s="39"/>
      <c r="C1040" s="43"/>
      <c r="D1040" s="43"/>
      <c r="E1040" s="43"/>
      <c r="F1040" s="132"/>
      <c r="G1040" s="41" t="e">
        <f>VLOOKUP(F1040,Pcode!A:B,2,FALSE)</f>
        <v>#N/A</v>
      </c>
      <c r="H1040" s="41"/>
      <c r="I1040" s="41" t="e">
        <f>VLOOKUP(H1040,Pcode!C:D,2,FALSE)</f>
        <v>#N/A</v>
      </c>
      <c r="J1040" s="41"/>
      <c r="K1040" s="160"/>
      <c r="L1040" s="160"/>
      <c r="M1040" s="46"/>
      <c r="N1040" s="136"/>
      <c r="O1040" s="136"/>
      <c r="P1040" s="136"/>
      <c r="Q1040" s="136"/>
      <c r="R1040" s="136"/>
      <c r="S1040" s="136"/>
      <c r="T1040" s="136"/>
      <c r="U1040" s="136"/>
      <c r="V1040" s="136"/>
      <c r="W1040" s="136"/>
      <c r="X1040" s="136"/>
      <c r="Y1040" s="136"/>
      <c r="Z1040" s="136"/>
      <c r="AA1040" s="231"/>
    </row>
    <row r="1041" spans="1:27" x14ac:dyDescent="0.2">
      <c r="A1041" s="39"/>
      <c r="B1041" s="39"/>
      <c r="C1041" s="43"/>
      <c r="D1041" s="43"/>
      <c r="E1041" s="43"/>
      <c r="F1041" s="132"/>
      <c r="G1041" s="41" t="e">
        <f>VLOOKUP(F1041,Pcode!A:B,2,FALSE)</f>
        <v>#N/A</v>
      </c>
      <c r="H1041" s="41"/>
      <c r="I1041" s="41" t="e">
        <f>VLOOKUP(H1041,Pcode!C:D,2,FALSE)</f>
        <v>#N/A</v>
      </c>
      <c r="J1041" s="41"/>
      <c r="K1041" s="160"/>
      <c r="L1041" s="160"/>
      <c r="M1041" s="46"/>
      <c r="N1041" s="136"/>
      <c r="O1041" s="136"/>
      <c r="P1041" s="136"/>
      <c r="Q1041" s="136"/>
      <c r="R1041" s="136"/>
      <c r="S1041" s="136"/>
      <c r="T1041" s="136"/>
      <c r="U1041" s="136"/>
      <c r="V1041" s="136"/>
      <c r="W1041" s="136"/>
      <c r="X1041" s="136"/>
      <c r="Y1041" s="136"/>
      <c r="Z1041" s="136"/>
      <c r="AA1041" s="231"/>
    </row>
    <row r="1042" spans="1:27" x14ac:dyDescent="0.2">
      <c r="A1042" s="39"/>
      <c r="B1042" s="39"/>
      <c r="C1042" s="43"/>
      <c r="D1042" s="43"/>
      <c r="E1042" s="43"/>
      <c r="F1042" s="132"/>
      <c r="G1042" s="41" t="e">
        <f>VLOOKUP(F1042,Pcode!A:B,2,FALSE)</f>
        <v>#N/A</v>
      </c>
      <c r="H1042" s="41"/>
      <c r="I1042" s="41" t="e">
        <f>VLOOKUP(H1042,Pcode!C:D,2,FALSE)</f>
        <v>#N/A</v>
      </c>
      <c r="J1042" s="41"/>
      <c r="K1042" s="160"/>
      <c r="L1042" s="160"/>
      <c r="M1042" s="46"/>
      <c r="N1042" s="136"/>
      <c r="O1042" s="136"/>
      <c r="P1042" s="136"/>
      <c r="Q1042" s="136"/>
      <c r="R1042" s="136"/>
      <c r="S1042" s="136"/>
      <c r="T1042" s="136"/>
      <c r="U1042" s="136"/>
      <c r="V1042" s="136"/>
      <c r="W1042" s="136"/>
      <c r="X1042" s="136"/>
      <c r="Y1042" s="136"/>
      <c r="Z1042" s="136"/>
      <c r="AA1042" s="231"/>
    </row>
    <row r="1043" spans="1:27" x14ac:dyDescent="0.2">
      <c r="A1043" s="39"/>
      <c r="B1043" s="39"/>
      <c r="C1043" s="43"/>
      <c r="D1043" s="43"/>
      <c r="E1043" s="43"/>
      <c r="F1043" s="132"/>
      <c r="G1043" s="41" t="e">
        <f>VLOOKUP(F1043,Pcode!A:B,2,FALSE)</f>
        <v>#N/A</v>
      </c>
      <c r="H1043" s="41"/>
      <c r="I1043" s="41" t="e">
        <f>VLOOKUP(H1043,Pcode!C:D,2,FALSE)</f>
        <v>#N/A</v>
      </c>
      <c r="J1043" s="41"/>
      <c r="K1043" s="160"/>
      <c r="L1043" s="160"/>
      <c r="M1043" s="46"/>
      <c r="N1043" s="136"/>
      <c r="O1043" s="136"/>
      <c r="P1043" s="136"/>
      <c r="Q1043" s="136"/>
      <c r="R1043" s="136"/>
      <c r="S1043" s="136"/>
      <c r="T1043" s="136"/>
      <c r="U1043" s="136"/>
      <c r="V1043" s="136"/>
      <c r="W1043" s="136"/>
      <c r="X1043" s="136"/>
      <c r="Y1043" s="136"/>
      <c r="Z1043" s="136"/>
      <c r="AA1043" s="231"/>
    </row>
    <row r="1044" spans="1:27" x14ac:dyDescent="0.2">
      <c r="A1044" s="39"/>
      <c r="B1044" s="39"/>
      <c r="C1044" s="43"/>
      <c r="D1044" s="43"/>
      <c r="E1044" s="43"/>
      <c r="F1044" s="132"/>
      <c r="G1044" s="41" t="e">
        <f>VLOOKUP(F1044,Pcode!A:B,2,FALSE)</f>
        <v>#N/A</v>
      </c>
      <c r="H1044" s="41"/>
      <c r="I1044" s="41" t="e">
        <f>VLOOKUP(H1044,Pcode!C:D,2,FALSE)</f>
        <v>#N/A</v>
      </c>
      <c r="J1044" s="41"/>
      <c r="K1044" s="160"/>
      <c r="L1044" s="160"/>
      <c r="M1044" s="46"/>
      <c r="N1044" s="136"/>
      <c r="O1044" s="136"/>
      <c r="P1044" s="136"/>
      <c r="Q1044" s="136"/>
      <c r="R1044" s="136"/>
      <c r="S1044" s="136"/>
      <c r="T1044" s="136"/>
      <c r="U1044" s="136"/>
      <c r="V1044" s="136"/>
      <c r="W1044" s="136"/>
      <c r="X1044" s="136"/>
      <c r="Y1044" s="136"/>
      <c r="Z1044" s="136"/>
      <c r="AA1044" s="231"/>
    </row>
    <row r="1045" spans="1:27" x14ac:dyDescent="0.2">
      <c r="A1045" s="39"/>
      <c r="B1045" s="39"/>
      <c r="C1045" s="43"/>
      <c r="D1045" s="43"/>
      <c r="E1045" s="43"/>
      <c r="F1045" s="132"/>
      <c r="G1045" s="41" t="e">
        <f>VLOOKUP(F1045,Pcode!A:B,2,FALSE)</f>
        <v>#N/A</v>
      </c>
      <c r="H1045" s="41"/>
      <c r="I1045" s="41" t="e">
        <f>VLOOKUP(H1045,Pcode!C:D,2,FALSE)</f>
        <v>#N/A</v>
      </c>
      <c r="J1045" s="41"/>
      <c r="K1045" s="160"/>
      <c r="L1045" s="160"/>
      <c r="M1045" s="46"/>
      <c r="N1045" s="136"/>
      <c r="O1045" s="136"/>
      <c r="P1045" s="136"/>
      <c r="Q1045" s="136"/>
      <c r="R1045" s="136"/>
      <c r="S1045" s="136"/>
      <c r="T1045" s="136"/>
      <c r="U1045" s="136"/>
      <c r="V1045" s="136"/>
      <c r="W1045" s="136"/>
      <c r="X1045" s="136"/>
      <c r="Y1045" s="136"/>
      <c r="Z1045" s="136"/>
      <c r="AA1045" s="231"/>
    </row>
    <row r="1046" spans="1:27" x14ac:dyDescent="0.2">
      <c r="A1046" s="39"/>
      <c r="B1046" s="39"/>
      <c r="C1046" s="43"/>
      <c r="D1046" s="43"/>
      <c r="E1046" s="43"/>
      <c r="F1046" s="132"/>
      <c r="G1046" s="41" t="e">
        <f>VLOOKUP(F1046,Pcode!A:B,2,FALSE)</f>
        <v>#N/A</v>
      </c>
      <c r="H1046" s="41"/>
      <c r="I1046" s="41" t="e">
        <f>VLOOKUP(H1046,Pcode!C:D,2,FALSE)</f>
        <v>#N/A</v>
      </c>
      <c r="J1046" s="41"/>
      <c r="K1046" s="160"/>
      <c r="L1046" s="160"/>
      <c r="M1046" s="46"/>
      <c r="N1046" s="136"/>
      <c r="O1046" s="136"/>
      <c r="P1046" s="136"/>
      <c r="Q1046" s="136"/>
      <c r="R1046" s="136"/>
      <c r="S1046" s="136"/>
      <c r="T1046" s="136"/>
      <c r="U1046" s="136"/>
      <c r="V1046" s="136"/>
      <c r="W1046" s="136"/>
      <c r="X1046" s="136"/>
      <c r="Y1046" s="136"/>
      <c r="Z1046" s="136"/>
      <c r="AA1046" s="231"/>
    </row>
    <row r="1047" spans="1:27" x14ac:dyDescent="0.2">
      <c r="A1047" s="39"/>
      <c r="B1047" s="39"/>
      <c r="C1047" s="43"/>
      <c r="D1047" s="43"/>
      <c r="E1047" s="43"/>
      <c r="F1047" s="132"/>
      <c r="G1047" s="41" t="e">
        <f>VLOOKUP(F1047,Pcode!A:B,2,FALSE)</f>
        <v>#N/A</v>
      </c>
      <c r="H1047" s="41"/>
      <c r="I1047" s="41" t="e">
        <f>VLOOKUP(H1047,Pcode!C:D,2,FALSE)</f>
        <v>#N/A</v>
      </c>
      <c r="J1047" s="41"/>
      <c r="K1047" s="160"/>
      <c r="L1047" s="160"/>
      <c r="M1047" s="46"/>
      <c r="N1047" s="136"/>
      <c r="O1047" s="136"/>
      <c r="P1047" s="136"/>
      <c r="Q1047" s="136"/>
      <c r="R1047" s="136"/>
      <c r="S1047" s="136"/>
      <c r="T1047" s="136"/>
      <c r="U1047" s="136"/>
      <c r="V1047" s="136"/>
      <c r="W1047" s="136"/>
      <c r="X1047" s="136"/>
      <c r="Y1047" s="136"/>
      <c r="Z1047" s="136"/>
      <c r="AA1047" s="231"/>
    </row>
    <row r="1048" spans="1:27" x14ac:dyDescent="0.2">
      <c r="A1048" s="39"/>
      <c r="B1048" s="39"/>
      <c r="C1048" s="43"/>
      <c r="D1048" s="43"/>
      <c r="E1048" s="43"/>
      <c r="F1048" s="132"/>
      <c r="G1048" s="41" t="e">
        <f>VLOOKUP(F1048,Pcode!A:B,2,FALSE)</f>
        <v>#N/A</v>
      </c>
      <c r="H1048" s="41"/>
      <c r="I1048" s="41" t="e">
        <f>VLOOKUP(H1048,Pcode!C:D,2,FALSE)</f>
        <v>#N/A</v>
      </c>
      <c r="J1048" s="41"/>
      <c r="K1048" s="160"/>
      <c r="L1048" s="160"/>
      <c r="M1048" s="46"/>
      <c r="N1048" s="136"/>
      <c r="O1048" s="136"/>
      <c r="P1048" s="136"/>
      <c r="Q1048" s="136"/>
      <c r="R1048" s="136"/>
      <c r="S1048" s="136"/>
      <c r="T1048" s="136"/>
      <c r="U1048" s="136"/>
      <c r="V1048" s="136"/>
      <c r="W1048" s="136"/>
      <c r="X1048" s="136"/>
      <c r="Y1048" s="136"/>
      <c r="Z1048" s="136"/>
      <c r="AA1048" s="231"/>
    </row>
    <row r="1049" spans="1:27" x14ac:dyDescent="0.2">
      <c r="A1049" s="39"/>
      <c r="B1049" s="39"/>
      <c r="C1049" s="43"/>
      <c r="D1049" s="43"/>
      <c r="E1049" s="43"/>
      <c r="F1049" s="132"/>
      <c r="G1049" s="41" t="e">
        <f>VLOOKUP(F1049,Pcode!A:B,2,FALSE)</f>
        <v>#N/A</v>
      </c>
      <c r="H1049" s="41"/>
      <c r="I1049" s="41" t="e">
        <f>VLOOKUP(H1049,Pcode!C:D,2,FALSE)</f>
        <v>#N/A</v>
      </c>
      <c r="J1049" s="41"/>
      <c r="K1049" s="160"/>
      <c r="L1049" s="160"/>
      <c r="M1049" s="46"/>
      <c r="N1049" s="136"/>
      <c r="O1049" s="136"/>
      <c r="P1049" s="136"/>
      <c r="Q1049" s="136"/>
      <c r="R1049" s="136"/>
      <c r="S1049" s="136"/>
      <c r="T1049" s="136"/>
      <c r="U1049" s="136"/>
      <c r="V1049" s="136"/>
      <c r="W1049" s="136"/>
      <c r="X1049" s="136"/>
      <c r="Y1049" s="136"/>
      <c r="Z1049" s="136"/>
      <c r="AA1049" s="231"/>
    </row>
    <row r="1050" spans="1:27" x14ac:dyDescent="0.2">
      <c r="A1050" s="39"/>
      <c r="B1050" s="39"/>
      <c r="C1050" s="43"/>
      <c r="D1050" s="43"/>
      <c r="E1050" s="43"/>
      <c r="F1050" s="132"/>
      <c r="G1050" s="41" t="e">
        <f>VLOOKUP(F1050,Pcode!A:B,2,FALSE)</f>
        <v>#N/A</v>
      </c>
      <c r="H1050" s="41"/>
      <c r="I1050" s="41" t="e">
        <f>VLOOKUP(H1050,Pcode!C:D,2,FALSE)</f>
        <v>#N/A</v>
      </c>
      <c r="J1050" s="41"/>
      <c r="K1050" s="160"/>
      <c r="L1050" s="160"/>
      <c r="M1050" s="46"/>
      <c r="N1050" s="136"/>
      <c r="O1050" s="136"/>
      <c r="P1050" s="136"/>
      <c r="Q1050" s="136"/>
      <c r="R1050" s="136"/>
      <c r="S1050" s="136"/>
      <c r="T1050" s="136"/>
      <c r="U1050" s="136"/>
      <c r="V1050" s="136"/>
      <c r="W1050" s="136"/>
      <c r="X1050" s="136"/>
      <c r="Y1050" s="136"/>
      <c r="Z1050" s="136"/>
      <c r="AA1050" s="231"/>
    </row>
    <row r="1051" spans="1:27" x14ac:dyDescent="0.2">
      <c r="A1051" s="39"/>
      <c r="B1051" s="39"/>
      <c r="C1051" s="43"/>
      <c r="D1051" s="43"/>
      <c r="E1051" s="43"/>
      <c r="F1051" s="132"/>
      <c r="G1051" s="41" t="e">
        <f>VLOOKUP(F1051,Pcode!A:B,2,FALSE)</f>
        <v>#N/A</v>
      </c>
      <c r="H1051" s="41"/>
      <c r="I1051" s="41" t="e">
        <f>VLOOKUP(H1051,Pcode!C:D,2,FALSE)</f>
        <v>#N/A</v>
      </c>
      <c r="J1051" s="41"/>
      <c r="K1051" s="160"/>
      <c r="L1051" s="160"/>
      <c r="M1051" s="46"/>
      <c r="N1051" s="136"/>
      <c r="O1051" s="136"/>
      <c r="P1051" s="136"/>
      <c r="Q1051" s="136"/>
      <c r="R1051" s="136"/>
      <c r="S1051" s="136"/>
      <c r="T1051" s="136"/>
      <c r="U1051" s="136"/>
      <c r="V1051" s="136"/>
      <c r="W1051" s="136"/>
      <c r="X1051" s="136"/>
      <c r="Y1051" s="136"/>
      <c r="Z1051" s="136"/>
      <c r="AA1051" s="231"/>
    </row>
    <row r="1052" spans="1:27" x14ac:dyDescent="0.2">
      <c r="A1052" s="39"/>
      <c r="B1052" s="39"/>
      <c r="C1052" s="43"/>
      <c r="D1052" s="43"/>
      <c r="E1052" s="43"/>
      <c r="F1052" s="132"/>
      <c r="G1052" s="41" t="e">
        <f>VLOOKUP(F1052,Pcode!A:B,2,FALSE)</f>
        <v>#N/A</v>
      </c>
      <c r="H1052" s="41"/>
      <c r="I1052" s="41" t="e">
        <f>VLOOKUP(H1052,Pcode!C:D,2,FALSE)</f>
        <v>#N/A</v>
      </c>
      <c r="J1052" s="41"/>
      <c r="K1052" s="160"/>
      <c r="L1052" s="160"/>
      <c r="M1052" s="46"/>
      <c r="N1052" s="136"/>
      <c r="O1052" s="136"/>
      <c r="P1052" s="136"/>
      <c r="Q1052" s="136"/>
      <c r="R1052" s="136"/>
      <c r="S1052" s="136"/>
      <c r="T1052" s="136"/>
      <c r="U1052" s="136"/>
      <c r="V1052" s="136"/>
      <c r="W1052" s="136"/>
      <c r="X1052" s="136"/>
      <c r="Y1052" s="136"/>
      <c r="Z1052" s="136"/>
      <c r="AA1052" s="231"/>
    </row>
    <row r="1053" spans="1:27" x14ac:dyDescent="0.2">
      <c r="A1053" s="39"/>
      <c r="B1053" s="39"/>
      <c r="C1053" s="43"/>
      <c r="D1053" s="43"/>
      <c r="E1053" s="43"/>
      <c r="F1053" s="132"/>
      <c r="G1053" s="41" t="e">
        <f>VLOOKUP(F1053,Pcode!A:B,2,FALSE)</f>
        <v>#N/A</v>
      </c>
      <c r="H1053" s="41"/>
      <c r="I1053" s="41" t="e">
        <f>VLOOKUP(H1053,Pcode!C:D,2,FALSE)</f>
        <v>#N/A</v>
      </c>
      <c r="J1053" s="41"/>
      <c r="K1053" s="160"/>
      <c r="L1053" s="160"/>
      <c r="M1053" s="46"/>
      <c r="N1053" s="136"/>
      <c r="O1053" s="136"/>
      <c r="P1053" s="136"/>
      <c r="Q1053" s="136"/>
      <c r="R1053" s="136"/>
      <c r="S1053" s="136"/>
      <c r="T1053" s="136"/>
      <c r="U1053" s="136"/>
      <c r="V1053" s="136"/>
      <c r="W1053" s="136"/>
      <c r="X1053" s="136"/>
      <c r="Y1053" s="136"/>
      <c r="Z1053" s="136"/>
      <c r="AA1053" s="231"/>
    </row>
    <row r="1054" spans="1:27" x14ac:dyDescent="0.2">
      <c r="A1054" s="39"/>
      <c r="B1054" s="39"/>
      <c r="C1054" s="43"/>
      <c r="D1054" s="43"/>
      <c r="E1054" s="43"/>
      <c r="F1054" s="132"/>
      <c r="G1054" s="41" t="e">
        <f>VLOOKUP(F1054,Pcode!A:B,2,FALSE)</f>
        <v>#N/A</v>
      </c>
      <c r="H1054" s="41"/>
      <c r="I1054" s="41" t="e">
        <f>VLOOKUP(H1054,Pcode!C:D,2,FALSE)</f>
        <v>#N/A</v>
      </c>
      <c r="J1054" s="41"/>
      <c r="K1054" s="160"/>
      <c r="L1054" s="160"/>
      <c r="M1054" s="46"/>
      <c r="N1054" s="136"/>
      <c r="O1054" s="136"/>
      <c r="P1054" s="136"/>
      <c r="Q1054" s="136"/>
      <c r="R1054" s="136"/>
      <c r="S1054" s="136"/>
      <c r="T1054" s="136"/>
      <c r="U1054" s="136"/>
      <c r="V1054" s="136"/>
      <c r="W1054" s="136"/>
      <c r="X1054" s="136"/>
      <c r="Y1054" s="136"/>
      <c r="Z1054" s="136"/>
      <c r="AA1054" s="231"/>
    </row>
    <row r="1055" spans="1:27" x14ac:dyDescent="0.2">
      <c r="A1055" s="39"/>
      <c r="B1055" s="39"/>
      <c r="C1055" s="43"/>
      <c r="D1055" s="43"/>
      <c r="E1055" s="43"/>
      <c r="F1055" s="132"/>
      <c r="G1055" s="41" t="e">
        <f>VLOOKUP(F1055,Pcode!A:B,2,FALSE)</f>
        <v>#N/A</v>
      </c>
      <c r="H1055" s="41"/>
      <c r="I1055" s="41" t="e">
        <f>VLOOKUP(H1055,Pcode!C:D,2,FALSE)</f>
        <v>#N/A</v>
      </c>
      <c r="J1055" s="41"/>
      <c r="K1055" s="160"/>
      <c r="L1055" s="160"/>
      <c r="M1055" s="46"/>
      <c r="N1055" s="136"/>
      <c r="O1055" s="136"/>
      <c r="P1055" s="136"/>
      <c r="Q1055" s="136"/>
      <c r="R1055" s="136"/>
      <c r="S1055" s="136"/>
      <c r="T1055" s="136"/>
      <c r="U1055" s="136"/>
      <c r="V1055" s="136"/>
      <c r="W1055" s="136"/>
      <c r="X1055" s="136"/>
      <c r="Y1055" s="136"/>
      <c r="Z1055" s="136"/>
      <c r="AA1055" s="231"/>
    </row>
    <row r="1056" spans="1:27" x14ac:dyDescent="0.2">
      <c r="A1056" s="39"/>
      <c r="B1056" s="39"/>
      <c r="C1056" s="43"/>
      <c r="D1056" s="43"/>
      <c r="E1056" s="43"/>
      <c r="F1056" s="132"/>
      <c r="G1056" s="41" t="e">
        <f>VLOOKUP(F1056,Pcode!A:B,2,FALSE)</f>
        <v>#N/A</v>
      </c>
      <c r="H1056" s="41"/>
      <c r="I1056" s="41" t="e">
        <f>VLOOKUP(H1056,Pcode!C:D,2,FALSE)</f>
        <v>#N/A</v>
      </c>
      <c r="J1056" s="41"/>
      <c r="K1056" s="160"/>
      <c r="L1056" s="160"/>
      <c r="M1056" s="46"/>
      <c r="N1056" s="136"/>
      <c r="O1056" s="136"/>
      <c r="P1056" s="136"/>
      <c r="Q1056" s="136"/>
      <c r="R1056" s="136"/>
      <c r="S1056" s="136"/>
      <c r="T1056" s="136"/>
      <c r="U1056" s="136"/>
      <c r="V1056" s="136"/>
      <c r="W1056" s="136"/>
      <c r="X1056" s="136"/>
      <c r="Y1056" s="136"/>
      <c r="Z1056" s="136"/>
      <c r="AA1056" s="231"/>
    </row>
    <row r="1057" spans="1:27" x14ac:dyDescent="0.2">
      <c r="A1057" s="39"/>
      <c r="B1057" s="39"/>
      <c r="C1057" s="43"/>
      <c r="D1057" s="43"/>
      <c r="E1057" s="43"/>
      <c r="F1057" s="132"/>
      <c r="G1057" s="41" t="e">
        <f>VLOOKUP(F1057,Pcode!A:B,2,FALSE)</f>
        <v>#N/A</v>
      </c>
      <c r="H1057" s="41"/>
      <c r="I1057" s="41" t="e">
        <f>VLOOKUP(H1057,Pcode!C:D,2,FALSE)</f>
        <v>#N/A</v>
      </c>
      <c r="J1057" s="41"/>
      <c r="K1057" s="160"/>
      <c r="L1057" s="160"/>
      <c r="M1057" s="46"/>
      <c r="N1057" s="136"/>
      <c r="O1057" s="136"/>
      <c r="P1057" s="136"/>
      <c r="Q1057" s="136"/>
      <c r="R1057" s="136"/>
      <c r="S1057" s="136"/>
      <c r="T1057" s="136"/>
      <c r="U1057" s="136"/>
      <c r="V1057" s="136"/>
      <c r="W1057" s="136"/>
      <c r="X1057" s="136"/>
      <c r="Y1057" s="136"/>
      <c r="Z1057" s="136"/>
      <c r="AA1057" s="231"/>
    </row>
    <row r="1058" spans="1:27" x14ac:dyDescent="0.2">
      <c r="A1058" s="39"/>
      <c r="B1058" s="39"/>
      <c r="C1058" s="43"/>
      <c r="D1058" s="43"/>
      <c r="E1058" s="43"/>
      <c r="F1058" s="132"/>
      <c r="G1058" s="41" t="e">
        <f>VLOOKUP(F1058,Pcode!A:B,2,FALSE)</f>
        <v>#N/A</v>
      </c>
      <c r="H1058" s="41"/>
      <c r="I1058" s="41" t="e">
        <f>VLOOKUP(H1058,Pcode!C:D,2,FALSE)</f>
        <v>#N/A</v>
      </c>
      <c r="J1058" s="41"/>
      <c r="K1058" s="160"/>
      <c r="L1058" s="160"/>
      <c r="M1058" s="46"/>
      <c r="N1058" s="136"/>
      <c r="O1058" s="136"/>
      <c r="P1058" s="136"/>
      <c r="Q1058" s="136"/>
      <c r="R1058" s="136"/>
      <c r="S1058" s="136"/>
      <c r="T1058" s="136"/>
      <c r="U1058" s="136"/>
      <c r="V1058" s="136"/>
      <c r="W1058" s="136"/>
      <c r="X1058" s="136"/>
      <c r="Y1058" s="136"/>
      <c r="Z1058" s="136"/>
      <c r="AA1058" s="231"/>
    </row>
    <row r="1059" spans="1:27" x14ac:dyDescent="0.2">
      <c r="A1059" s="39"/>
      <c r="B1059" s="39"/>
      <c r="C1059" s="43"/>
      <c r="D1059" s="43"/>
      <c r="E1059" s="43"/>
      <c r="F1059" s="132"/>
      <c r="G1059" s="41" t="e">
        <f>VLOOKUP(F1059,Pcode!A:B,2,FALSE)</f>
        <v>#N/A</v>
      </c>
      <c r="H1059" s="41"/>
      <c r="I1059" s="41" t="e">
        <f>VLOOKUP(H1059,Pcode!C:D,2,FALSE)</f>
        <v>#N/A</v>
      </c>
      <c r="J1059" s="41"/>
      <c r="K1059" s="160"/>
      <c r="L1059" s="160"/>
      <c r="M1059" s="46"/>
      <c r="N1059" s="136"/>
      <c r="O1059" s="136"/>
      <c r="P1059" s="136"/>
      <c r="Q1059" s="136"/>
      <c r="R1059" s="136"/>
      <c r="S1059" s="136"/>
      <c r="T1059" s="136"/>
      <c r="U1059" s="136"/>
      <c r="V1059" s="136"/>
      <c r="W1059" s="136"/>
      <c r="X1059" s="136"/>
      <c r="Y1059" s="136"/>
      <c r="Z1059" s="136"/>
      <c r="AA1059" s="231"/>
    </row>
    <row r="1060" spans="1:27" x14ac:dyDescent="0.2">
      <c r="A1060" s="39"/>
      <c r="B1060" s="39"/>
      <c r="C1060" s="43"/>
      <c r="D1060" s="43"/>
      <c r="E1060" s="43"/>
      <c r="F1060" s="132"/>
      <c r="G1060" s="41" t="e">
        <f>VLOOKUP(F1060,Pcode!A:B,2,FALSE)</f>
        <v>#N/A</v>
      </c>
      <c r="H1060" s="41"/>
      <c r="I1060" s="41" t="e">
        <f>VLOOKUP(H1060,Pcode!C:D,2,FALSE)</f>
        <v>#N/A</v>
      </c>
      <c r="J1060" s="41"/>
      <c r="K1060" s="160"/>
      <c r="L1060" s="160"/>
      <c r="M1060" s="46"/>
      <c r="N1060" s="136"/>
      <c r="O1060" s="136"/>
      <c r="P1060" s="136"/>
      <c r="Q1060" s="136"/>
      <c r="R1060" s="136"/>
      <c r="S1060" s="136"/>
      <c r="T1060" s="136"/>
      <c r="U1060" s="136"/>
      <c r="V1060" s="136"/>
      <c r="W1060" s="136"/>
      <c r="X1060" s="136"/>
      <c r="Y1060" s="136"/>
      <c r="Z1060" s="136"/>
      <c r="AA1060" s="231"/>
    </row>
    <row r="1061" spans="1:27" x14ac:dyDescent="0.2">
      <c r="A1061" s="39"/>
      <c r="B1061" s="39"/>
      <c r="C1061" s="43"/>
      <c r="D1061" s="43"/>
      <c r="E1061" s="43"/>
      <c r="F1061" s="132"/>
      <c r="G1061" s="41" t="e">
        <f>VLOOKUP(F1061,Pcode!A:B,2,FALSE)</f>
        <v>#N/A</v>
      </c>
      <c r="H1061" s="41"/>
      <c r="I1061" s="41" t="e">
        <f>VLOOKUP(H1061,Pcode!C:D,2,FALSE)</f>
        <v>#N/A</v>
      </c>
      <c r="J1061" s="41"/>
      <c r="K1061" s="160"/>
      <c r="L1061" s="160"/>
      <c r="M1061" s="46"/>
      <c r="N1061" s="136"/>
      <c r="O1061" s="136"/>
      <c r="P1061" s="136"/>
      <c r="Q1061" s="136"/>
      <c r="R1061" s="136"/>
      <c r="S1061" s="136"/>
      <c r="T1061" s="136"/>
      <c r="U1061" s="136"/>
      <c r="V1061" s="136"/>
      <c r="W1061" s="136"/>
      <c r="X1061" s="136"/>
      <c r="Y1061" s="136"/>
      <c r="Z1061" s="136"/>
      <c r="AA1061" s="231"/>
    </row>
    <row r="1062" spans="1:27" x14ac:dyDescent="0.2">
      <c r="A1062" s="39"/>
      <c r="B1062" s="39"/>
      <c r="C1062" s="43"/>
      <c r="D1062" s="43"/>
      <c r="E1062" s="43"/>
      <c r="F1062" s="132"/>
      <c r="G1062" s="41" t="e">
        <f>VLOOKUP(F1062,Pcode!A:B,2,FALSE)</f>
        <v>#N/A</v>
      </c>
      <c r="H1062" s="41"/>
      <c r="I1062" s="41" t="e">
        <f>VLOOKUP(H1062,Pcode!C:D,2,FALSE)</f>
        <v>#N/A</v>
      </c>
      <c r="J1062" s="41"/>
      <c r="K1062" s="160"/>
      <c r="L1062" s="160"/>
      <c r="M1062" s="46"/>
      <c r="N1062" s="136"/>
      <c r="O1062" s="136"/>
      <c r="P1062" s="136"/>
      <c r="Q1062" s="136"/>
      <c r="R1062" s="136"/>
      <c r="S1062" s="136"/>
      <c r="T1062" s="136"/>
      <c r="U1062" s="136"/>
      <c r="V1062" s="136"/>
      <c r="W1062" s="136"/>
      <c r="X1062" s="136"/>
      <c r="Y1062" s="136"/>
      <c r="Z1062" s="136"/>
      <c r="AA1062" s="231"/>
    </row>
    <row r="1063" spans="1:27" x14ac:dyDescent="0.2">
      <c r="A1063" s="39"/>
      <c r="B1063" s="39"/>
      <c r="C1063" s="43"/>
      <c r="D1063" s="43"/>
      <c r="E1063" s="43"/>
      <c r="F1063" s="132"/>
      <c r="G1063" s="41" t="e">
        <f>VLOOKUP(F1063,Pcode!A:B,2,FALSE)</f>
        <v>#N/A</v>
      </c>
      <c r="H1063" s="41"/>
      <c r="I1063" s="41" t="e">
        <f>VLOOKUP(H1063,Pcode!C:D,2,FALSE)</f>
        <v>#N/A</v>
      </c>
      <c r="J1063" s="41"/>
      <c r="K1063" s="160"/>
      <c r="L1063" s="160"/>
      <c r="M1063" s="46"/>
      <c r="N1063" s="136"/>
      <c r="O1063" s="136"/>
      <c r="P1063" s="136"/>
      <c r="Q1063" s="136"/>
      <c r="R1063" s="136"/>
      <c r="S1063" s="136"/>
      <c r="T1063" s="136"/>
      <c r="U1063" s="136"/>
      <c r="V1063" s="136"/>
      <c r="W1063" s="136"/>
      <c r="X1063" s="136"/>
      <c r="Y1063" s="136"/>
      <c r="Z1063" s="136"/>
      <c r="AA1063" s="231"/>
    </row>
    <row r="1064" spans="1:27" x14ac:dyDescent="0.2">
      <c r="A1064" s="39"/>
      <c r="B1064" s="39"/>
      <c r="C1064" s="43"/>
      <c r="D1064" s="43"/>
      <c r="E1064" s="43"/>
      <c r="F1064" s="132"/>
      <c r="G1064" s="41" t="e">
        <f>VLOOKUP(F1064,Pcode!A:B,2,FALSE)</f>
        <v>#N/A</v>
      </c>
      <c r="H1064" s="41"/>
      <c r="I1064" s="41" t="e">
        <f>VLOOKUP(H1064,Pcode!C:D,2,FALSE)</f>
        <v>#N/A</v>
      </c>
      <c r="J1064" s="41"/>
      <c r="K1064" s="160"/>
      <c r="L1064" s="160"/>
      <c r="M1064" s="46"/>
      <c r="N1064" s="136"/>
      <c r="O1064" s="136"/>
      <c r="P1064" s="136"/>
      <c r="Q1064" s="136"/>
      <c r="R1064" s="136"/>
      <c r="S1064" s="136"/>
      <c r="T1064" s="136"/>
      <c r="U1064" s="136"/>
      <c r="V1064" s="136"/>
      <c r="W1064" s="136"/>
      <c r="X1064" s="136"/>
      <c r="Y1064" s="136"/>
      <c r="Z1064" s="136"/>
      <c r="AA1064" s="231"/>
    </row>
    <row r="1065" spans="1:27" x14ac:dyDescent="0.2">
      <c r="A1065" s="39"/>
      <c r="B1065" s="39"/>
      <c r="C1065" s="43"/>
      <c r="D1065" s="43"/>
      <c r="E1065" s="43"/>
      <c r="F1065" s="132"/>
      <c r="G1065" s="41" t="e">
        <f>VLOOKUP(F1065,Pcode!A:B,2,FALSE)</f>
        <v>#N/A</v>
      </c>
      <c r="H1065" s="41"/>
      <c r="I1065" s="41" t="e">
        <f>VLOOKUP(H1065,Pcode!C:D,2,FALSE)</f>
        <v>#N/A</v>
      </c>
      <c r="J1065" s="41"/>
      <c r="K1065" s="160"/>
      <c r="L1065" s="160"/>
      <c r="M1065" s="46"/>
      <c r="N1065" s="136"/>
      <c r="O1065" s="136"/>
      <c r="P1065" s="136"/>
      <c r="Q1065" s="136"/>
      <c r="R1065" s="136"/>
      <c r="S1065" s="136"/>
      <c r="T1065" s="136"/>
      <c r="U1065" s="136"/>
      <c r="V1065" s="136"/>
      <c r="W1065" s="136"/>
      <c r="X1065" s="136"/>
      <c r="Y1065" s="136"/>
      <c r="Z1065" s="136"/>
      <c r="AA1065" s="231"/>
    </row>
    <row r="1066" spans="1:27" x14ac:dyDescent="0.2">
      <c r="A1066" s="39"/>
      <c r="B1066" s="39"/>
      <c r="C1066" s="43"/>
      <c r="D1066" s="43"/>
      <c r="E1066" s="43"/>
      <c r="F1066" s="132"/>
      <c r="G1066" s="41" t="e">
        <f>VLOOKUP(F1066,Pcode!A:B,2,FALSE)</f>
        <v>#N/A</v>
      </c>
      <c r="H1066" s="41"/>
      <c r="I1066" s="41" t="e">
        <f>VLOOKUP(H1066,Pcode!C:D,2,FALSE)</f>
        <v>#N/A</v>
      </c>
      <c r="J1066" s="41"/>
      <c r="K1066" s="160"/>
      <c r="L1066" s="160"/>
      <c r="M1066" s="46"/>
      <c r="N1066" s="136"/>
      <c r="O1066" s="136"/>
      <c r="P1066" s="136"/>
      <c r="Q1066" s="136"/>
      <c r="R1066" s="136"/>
      <c r="S1066" s="136"/>
      <c r="T1066" s="136"/>
      <c r="U1066" s="136"/>
      <c r="V1066" s="136"/>
      <c r="W1066" s="136"/>
      <c r="X1066" s="136"/>
      <c r="Y1066" s="136"/>
      <c r="Z1066" s="136"/>
      <c r="AA1066" s="231"/>
    </row>
    <row r="1067" spans="1:27" x14ac:dyDescent="0.2">
      <c r="A1067" s="39"/>
      <c r="B1067" s="39"/>
      <c r="C1067" s="43"/>
      <c r="D1067" s="43"/>
      <c r="E1067" s="43"/>
      <c r="F1067" s="132"/>
      <c r="G1067" s="41" t="e">
        <f>VLOOKUP(F1067,Pcode!A:B,2,FALSE)</f>
        <v>#N/A</v>
      </c>
      <c r="H1067" s="41"/>
      <c r="I1067" s="41" t="e">
        <f>VLOOKUP(H1067,Pcode!C:D,2,FALSE)</f>
        <v>#N/A</v>
      </c>
      <c r="J1067" s="41"/>
      <c r="K1067" s="160"/>
      <c r="L1067" s="160"/>
      <c r="M1067" s="46"/>
      <c r="N1067" s="136"/>
      <c r="O1067" s="136"/>
      <c r="P1067" s="136"/>
      <c r="Q1067" s="136"/>
      <c r="R1067" s="136"/>
      <c r="S1067" s="136"/>
      <c r="T1067" s="136"/>
      <c r="U1067" s="136"/>
      <c r="V1067" s="136"/>
      <c r="W1067" s="136"/>
      <c r="X1067" s="136"/>
      <c r="Y1067" s="136"/>
      <c r="Z1067" s="136"/>
      <c r="AA1067" s="231"/>
    </row>
    <row r="1068" spans="1:27" x14ac:dyDescent="0.2">
      <c r="A1068" s="39"/>
      <c r="B1068" s="39"/>
      <c r="C1068" s="43"/>
      <c r="D1068" s="43"/>
      <c r="E1068" s="43"/>
      <c r="F1068" s="132"/>
      <c r="G1068" s="41" t="e">
        <f>VLOOKUP(F1068,Pcode!A:B,2,FALSE)</f>
        <v>#N/A</v>
      </c>
      <c r="H1068" s="41"/>
      <c r="I1068" s="41" t="e">
        <f>VLOOKUP(H1068,Pcode!C:D,2,FALSE)</f>
        <v>#N/A</v>
      </c>
      <c r="J1068" s="41"/>
      <c r="K1068" s="160"/>
      <c r="L1068" s="160"/>
      <c r="M1068" s="46"/>
      <c r="N1068" s="136"/>
      <c r="O1068" s="136"/>
      <c r="P1068" s="136"/>
      <c r="Q1068" s="136"/>
      <c r="R1068" s="136"/>
      <c r="S1068" s="136"/>
      <c r="T1068" s="136"/>
      <c r="U1068" s="136"/>
      <c r="V1068" s="136"/>
      <c r="W1068" s="136"/>
      <c r="X1068" s="136"/>
      <c r="Y1068" s="136"/>
      <c r="Z1068" s="136"/>
      <c r="AA1068" s="231"/>
    </row>
    <row r="1069" spans="1:27" x14ac:dyDescent="0.2">
      <c r="A1069" s="39"/>
      <c r="B1069" s="39"/>
      <c r="C1069" s="43"/>
      <c r="D1069" s="43"/>
      <c r="E1069" s="43"/>
      <c r="F1069" s="132"/>
      <c r="G1069" s="41" t="e">
        <f>VLOOKUP(F1069,Pcode!A:B,2,FALSE)</f>
        <v>#N/A</v>
      </c>
      <c r="H1069" s="41"/>
      <c r="I1069" s="41" t="e">
        <f>VLOOKUP(H1069,Pcode!C:D,2,FALSE)</f>
        <v>#N/A</v>
      </c>
      <c r="J1069" s="41"/>
      <c r="K1069" s="160"/>
      <c r="L1069" s="160"/>
      <c r="M1069" s="46"/>
      <c r="N1069" s="136"/>
      <c r="O1069" s="136"/>
      <c r="P1069" s="136"/>
      <c r="Q1069" s="136"/>
      <c r="R1069" s="136"/>
      <c r="S1069" s="136"/>
      <c r="T1069" s="136"/>
      <c r="U1069" s="136"/>
      <c r="V1069" s="136"/>
      <c r="W1069" s="136"/>
      <c r="X1069" s="136"/>
      <c r="Y1069" s="136"/>
      <c r="Z1069" s="136"/>
      <c r="AA1069" s="231"/>
    </row>
    <row r="1070" spans="1:27" x14ac:dyDescent="0.2">
      <c r="A1070" s="39"/>
      <c r="B1070" s="39"/>
      <c r="C1070" s="43"/>
      <c r="D1070" s="43"/>
      <c r="E1070" s="43"/>
      <c r="F1070" s="132"/>
      <c r="G1070" s="41" t="e">
        <f>VLOOKUP(F1070,Pcode!A:B,2,FALSE)</f>
        <v>#N/A</v>
      </c>
      <c r="H1070" s="41"/>
      <c r="I1070" s="41" t="e">
        <f>VLOOKUP(H1070,Pcode!C:D,2,FALSE)</f>
        <v>#N/A</v>
      </c>
      <c r="J1070" s="41"/>
      <c r="K1070" s="160"/>
      <c r="L1070" s="160"/>
      <c r="M1070" s="46"/>
      <c r="N1070" s="136"/>
      <c r="O1070" s="136"/>
      <c r="P1070" s="136"/>
      <c r="Q1070" s="136"/>
      <c r="R1070" s="136"/>
      <c r="S1070" s="136"/>
      <c r="T1070" s="136"/>
      <c r="U1070" s="136"/>
      <c r="V1070" s="136"/>
      <c r="W1070" s="136"/>
      <c r="X1070" s="136"/>
      <c r="Y1070" s="136"/>
      <c r="Z1070" s="136"/>
      <c r="AA1070" s="231"/>
    </row>
    <row r="1071" spans="1:27" x14ac:dyDescent="0.2">
      <c r="A1071" s="39"/>
      <c r="B1071" s="39"/>
      <c r="C1071" s="43"/>
      <c r="D1071" s="43"/>
      <c r="E1071" s="43"/>
      <c r="F1071" s="132"/>
      <c r="G1071" s="41" t="e">
        <f>VLOOKUP(F1071,Pcode!A:B,2,FALSE)</f>
        <v>#N/A</v>
      </c>
      <c r="H1071" s="41"/>
      <c r="I1071" s="41" t="e">
        <f>VLOOKUP(H1071,Pcode!C:D,2,FALSE)</f>
        <v>#N/A</v>
      </c>
      <c r="J1071" s="41"/>
      <c r="K1071" s="160"/>
      <c r="L1071" s="160"/>
      <c r="M1071" s="46"/>
      <c r="N1071" s="136"/>
      <c r="O1071" s="136"/>
      <c r="P1071" s="136"/>
      <c r="Q1071" s="136"/>
      <c r="R1071" s="136"/>
      <c r="S1071" s="136"/>
      <c r="T1071" s="136"/>
      <c r="U1071" s="136"/>
      <c r="V1071" s="136"/>
      <c r="W1071" s="136"/>
      <c r="X1071" s="136"/>
      <c r="Y1071" s="136"/>
      <c r="Z1071" s="136"/>
      <c r="AA1071" s="231"/>
    </row>
    <row r="1072" spans="1:27" x14ac:dyDescent="0.2">
      <c r="A1072" s="39"/>
      <c r="B1072" s="39"/>
      <c r="C1072" s="43"/>
      <c r="D1072" s="43"/>
      <c r="E1072" s="43"/>
      <c r="F1072" s="132"/>
      <c r="G1072" s="41" t="e">
        <f>VLOOKUP(F1072,Pcode!A:B,2,FALSE)</f>
        <v>#N/A</v>
      </c>
      <c r="H1072" s="41"/>
      <c r="I1072" s="41" t="e">
        <f>VLOOKUP(H1072,Pcode!C:D,2,FALSE)</f>
        <v>#N/A</v>
      </c>
      <c r="J1072" s="41"/>
      <c r="K1072" s="160"/>
      <c r="L1072" s="160"/>
      <c r="M1072" s="46"/>
      <c r="N1072" s="136"/>
      <c r="O1072" s="136"/>
      <c r="P1072" s="136"/>
      <c r="Q1072" s="136"/>
      <c r="R1072" s="136"/>
      <c r="S1072" s="136"/>
      <c r="T1072" s="136"/>
      <c r="U1072" s="136"/>
      <c r="V1072" s="136"/>
      <c r="W1072" s="136"/>
      <c r="X1072" s="136"/>
      <c r="Y1072" s="136"/>
      <c r="Z1072" s="136"/>
      <c r="AA1072" s="231"/>
    </row>
    <row r="1073" spans="1:27" x14ac:dyDescent="0.2">
      <c r="A1073" s="39"/>
      <c r="B1073" s="39"/>
      <c r="C1073" s="43"/>
      <c r="D1073" s="43"/>
      <c r="E1073" s="43"/>
      <c r="F1073" s="132"/>
      <c r="G1073" s="41" t="e">
        <f>VLOOKUP(F1073,Pcode!A:B,2,FALSE)</f>
        <v>#N/A</v>
      </c>
      <c r="H1073" s="41"/>
      <c r="I1073" s="41" t="e">
        <f>VLOOKUP(H1073,Pcode!C:D,2,FALSE)</f>
        <v>#N/A</v>
      </c>
      <c r="J1073" s="41"/>
      <c r="K1073" s="160"/>
      <c r="L1073" s="160"/>
      <c r="M1073" s="46"/>
      <c r="N1073" s="136"/>
      <c r="O1073" s="136"/>
      <c r="P1073" s="136"/>
      <c r="Q1073" s="136"/>
      <c r="R1073" s="136"/>
      <c r="S1073" s="136"/>
      <c r="T1073" s="136"/>
      <c r="U1073" s="136"/>
      <c r="V1073" s="136"/>
      <c r="W1073" s="136"/>
      <c r="X1073" s="136"/>
      <c r="Y1073" s="136"/>
      <c r="Z1073" s="136"/>
      <c r="AA1073" s="231"/>
    </row>
    <row r="1074" spans="1:27" x14ac:dyDescent="0.2">
      <c r="A1074" s="39"/>
      <c r="B1074" s="39"/>
      <c r="C1074" s="43"/>
      <c r="D1074" s="43"/>
      <c r="E1074" s="43"/>
      <c r="F1074" s="132"/>
      <c r="G1074" s="41" t="e">
        <f>VLOOKUP(F1074,Pcode!A:B,2,FALSE)</f>
        <v>#N/A</v>
      </c>
      <c r="H1074" s="41"/>
      <c r="I1074" s="41" t="e">
        <f>VLOOKUP(H1074,Pcode!C:D,2,FALSE)</f>
        <v>#N/A</v>
      </c>
      <c r="J1074" s="41"/>
      <c r="K1074" s="160"/>
      <c r="L1074" s="160"/>
      <c r="M1074" s="46"/>
      <c r="N1074" s="136"/>
      <c r="O1074" s="136"/>
      <c r="P1074" s="136"/>
      <c r="Q1074" s="136"/>
      <c r="R1074" s="136"/>
      <c r="S1074" s="136"/>
      <c r="T1074" s="136"/>
      <c r="U1074" s="136"/>
      <c r="V1074" s="136"/>
      <c r="W1074" s="136"/>
      <c r="X1074" s="136"/>
      <c r="Y1074" s="136"/>
      <c r="Z1074" s="136"/>
      <c r="AA1074" s="231"/>
    </row>
    <row r="1075" spans="1:27" x14ac:dyDescent="0.2">
      <c r="A1075" s="39"/>
      <c r="B1075" s="39"/>
      <c r="C1075" s="43"/>
      <c r="D1075" s="43"/>
      <c r="E1075" s="43"/>
      <c r="F1075" s="132"/>
      <c r="G1075" s="41" t="e">
        <f>VLOOKUP(F1075,Pcode!A:B,2,FALSE)</f>
        <v>#N/A</v>
      </c>
      <c r="H1075" s="41"/>
      <c r="I1075" s="41" t="e">
        <f>VLOOKUP(H1075,Pcode!C:D,2,FALSE)</f>
        <v>#N/A</v>
      </c>
      <c r="J1075" s="41"/>
      <c r="K1075" s="160"/>
      <c r="L1075" s="160"/>
      <c r="M1075" s="46"/>
      <c r="N1075" s="136"/>
      <c r="O1075" s="136"/>
      <c r="P1075" s="136"/>
      <c r="Q1075" s="136"/>
      <c r="R1075" s="136"/>
      <c r="S1075" s="136"/>
      <c r="T1075" s="136"/>
      <c r="U1075" s="136"/>
      <c r="V1075" s="136"/>
      <c r="W1075" s="136"/>
      <c r="X1075" s="136"/>
      <c r="Y1075" s="136"/>
      <c r="Z1075" s="136"/>
      <c r="AA1075" s="231"/>
    </row>
    <row r="1076" spans="1:27" x14ac:dyDescent="0.2">
      <c r="A1076" s="39"/>
      <c r="B1076" s="39"/>
      <c r="C1076" s="43"/>
      <c r="D1076" s="43"/>
      <c r="E1076" s="43"/>
      <c r="F1076" s="132"/>
      <c r="G1076" s="41" t="e">
        <f>VLOOKUP(F1076,Pcode!A:B,2,FALSE)</f>
        <v>#N/A</v>
      </c>
      <c r="H1076" s="41"/>
      <c r="I1076" s="41" t="e">
        <f>VLOOKUP(H1076,Pcode!C:D,2,FALSE)</f>
        <v>#N/A</v>
      </c>
      <c r="J1076" s="41"/>
      <c r="K1076" s="160"/>
      <c r="L1076" s="160"/>
      <c r="M1076" s="46"/>
      <c r="N1076" s="136"/>
      <c r="O1076" s="136"/>
      <c r="P1076" s="136"/>
      <c r="Q1076" s="136"/>
      <c r="R1076" s="136"/>
      <c r="S1076" s="136"/>
      <c r="T1076" s="136"/>
      <c r="U1076" s="136"/>
      <c r="V1076" s="136"/>
      <c r="W1076" s="136"/>
      <c r="X1076" s="136"/>
      <c r="Y1076" s="136"/>
      <c r="Z1076" s="136"/>
      <c r="AA1076" s="231"/>
    </row>
    <row r="1077" spans="1:27" x14ac:dyDescent="0.2">
      <c r="A1077" s="39"/>
      <c r="B1077" s="39"/>
      <c r="C1077" s="43"/>
      <c r="D1077" s="43"/>
      <c r="E1077" s="43"/>
      <c r="F1077" s="132"/>
      <c r="G1077" s="41" t="e">
        <f>VLOOKUP(F1077,Pcode!A:B,2,FALSE)</f>
        <v>#N/A</v>
      </c>
      <c r="H1077" s="41"/>
      <c r="I1077" s="41" t="e">
        <f>VLOOKUP(H1077,Pcode!C:D,2,FALSE)</f>
        <v>#N/A</v>
      </c>
      <c r="J1077" s="41"/>
      <c r="K1077" s="160"/>
      <c r="L1077" s="160"/>
      <c r="M1077" s="46"/>
      <c r="N1077" s="136"/>
      <c r="O1077" s="136"/>
      <c r="P1077" s="136"/>
      <c r="Q1077" s="136"/>
      <c r="R1077" s="136"/>
      <c r="S1077" s="136"/>
      <c r="T1077" s="136"/>
      <c r="U1077" s="136"/>
      <c r="V1077" s="136"/>
      <c r="W1077" s="136"/>
      <c r="X1077" s="136"/>
      <c r="Y1077" s="136"/>
      <c r="Z1077" s="136"/>
      <c r="AA1077" s="231"/>
    </row>
    <row r="1078" spans="1:27" x14ac:dyDescent="0.2">
      <c r="A1078" s="39"/>
      <c r="B1078" s="39"/>
      <c r="C1078" s="43"/>
      <c r="D1078" s="43"/>
      <c r="E1078" s="43"/>
      <c r="F1078" s="132"/>
      <c r="G1078" s="41" t="e">
        <f>VLOOKUP(F1078,Pcode!A:B,2,FALSE)</f>
        <v>#N/A</v>
      </c>
      <c r="H1078" s="41"/>
      <c r="I1078" s="41" t="e">
        <f>VLOOKUP(H1078,Pcode!C:D,2,FALSE)</f>
        <v>#N/A</v>
      </c>
      <c r="J1078" s="41"/>
      <c r="K1078" s="160"/>
      <c r="L1078" s="160"/>
      <c r="M1078" s="46"/>
      <c r="N1078" s="136"/>
      <c r="O1078" s="136"/>
      <c r="P1078" s="136"/>
      <c r="Q1078" s="136"/>
      <c r="R1078" s="136"/>
      <c r="S1078" s="136"/>
      <c r="T1078" s="136"/>
      <c r="U1078" s="136"/>
      <c r="V1078" s="136"/>
      <c r="W1078" s="136"/>
      <c r="X1078" s="136"/>
      <c r="Y1078" s="136"/>
      <c r="Z1078" s="136"/>
      <c r="AA1078" s="231"/>
    </row>
    <row r="1079" spans="1:27" x14ac:dyDescent="0.2">
      <c r="A1079" s="39"/>
      <c r="B1079" s="39"/>
      <c r="C1079" s="43"/>
      <c r="D1079" s="43"/>
      <c r="E1079" s="43"/>
      <c r="F1079" s="132"/>
      <c r="G1079" s="41" t="e">
        <f>VLOOKUP(F1079,Pcode!A:B,2,FALSE)</f>
        <v>#N/A</v>
      </c>
      <c r="H1079" s="41"/>
      <c r="I1079" s="41" t="e">
        <f>VLOOKUP(H1079,Pcode!C:D,2,FALSE)</f>
        <v>#N/A</v>
      </c>
      <c r="J1079" s="41"/>
      <c r="K1079" s="160"/>
      <c r="L1079" s="160"/>
      <c r="M1079" s="46"/>
      <c r="N1079" s="136"/>
      <c r="O1079" s="136"/>
      <c r="P1079" s="136"/>
      <c r="Q1079" s="136"/>
      <c r="R1079" s="136"/>
      <c r="S1079" s="136"/>
      <c r="T1079" s="136"/>
      <c r="U1079" s="136"/>
      <c r="V1079" s="136"/>
      <c r="W1079" s="136"/>
      <c r="X1079" s="136"/>
      <c r="Y1079" s="136"/>
      <c r="Z1079" s="136"/>
      <c r="AA1079" s="231"/>
    </row>
    <row r="1080" spans="1:27" x14ac:dyDescent="0.2">
      <c r="A1080" s="39"/>
      <c r="B1080" s="39"/>
      <c r="C1080" s="43"/>
      <c r="D1080" s="43"/>
      <c r="E1080" s="43"/>
      <c r="F1080" s="132"/>
      <c r="G1080" s="41" t="e">
        <f>VLOOKUP(F1080,Pcode!A:B,2,FALSE)</f>
        <v>#N/A</v>
      </c>
      <c r="H1080" s="41"/>
      <c r="I1080" s="41" t="e">
        <f>VLOOKUP(H1080,Pcode!C:D,2,FALSE)</f>
        <v>#N/A</v>
      </c>
      <c r="J1080" s="41"/>
      <c r="K1080" s="160"/>
      <c r="L1080" s="160"/>
      <c r="M1080" s="46"/>
      <c r="N1080" s="136"/>
      <c r="O1080" s="136"/>
      <c r="P1080" s="136"/>
      <c r="Q1080" s="136"/>
      <c r="R1080" s="136"/>
      <c r="S1080" s="136"/>
      <c r="T1080" s="136"/>
      <c r="U1080" s="136"/>
      <c r="V1080" s="136"/>
      <c r="W1080" s="136"/>
      <c r="X1080" s="136"/>
      <c r="Y1080" s="136"/>
      <c r="Z1080" s="136"/>
      <c r="AA1080" s="231"/>
    </row>
    <row r="1081" spans="1:27" x14ac:dyDescent="0.2">
      <c r="A1081" s="39"/>
      <c r="B1081" s="39"/>
      <c r="C1081" s="43"/>
      <c r="D1081" s="43"/>
      <c r="E1081" s="43"/>
      <c r="F1081" s="132"/>
      <c r="G1081" s="41" t="e">
        <f>VLOOKUP(F1081,Pcode!A:B,2,FALSE)</f>
        <v>#N/A</v>
      </c>
      <c r="H1081" s="41"/>
      <c r="I1081" s="41" t="e">
        <f>VLOOKUP(H1081,Pcode!C:D,2,FALSE)</f>
        <v>#N/A</v>
      </c>
      <c r="J1081" s="41"/>
      <c r="K1081" s="160"/>
      <c r="L1081" s="160"/>
      <c r="M1081" s="46"/>
      <c r="N1081" s="136"/>
      <c r="O1081" s="136"/>
      <c r="P1081" s="136"/>
      <c r="Q1081" s="136"/>
      <c r="R1081" s="136"/>
      <c r="S1081" s="136"/>
      <c r="T1081" s="136"/>
      <c r="U1081" s="136"/>
      <c r="V1081" s="136"/>
      <c r="W1081" s="136"/>
      <c r="X1081" s="136"/>
      <c r="Y1081" s="136"/>
      <c r="Z1081" s="136"/>
      <c r="AA1081" s="231"/>
    </row>
    <row r="1082" spans="1:27" x14ac:dyDescent="0.2">
      <c r="A1082" s="39"/>
      <c r="B1082" s="39"/>
      <c r="C1082" s="43"/>
      <c r="D1082" s="43"/>
      <c r="E1082" s="43"/>
      <c r="F1082" s="132"/>
      <c r="G1082" s="41" t="e">
        <f>VLOOKUP(F1082,Pcode!A:B,2,FALSE)</f>
        <v>#N/A</v>
      </c>
      <c r="H1082" s="41"/>
      <c r="I1082" s="41" t="e">
        <f>VLOOKUP(H1082,Pcode!C:D,2,FALSE)</f>
        <v>#N/A</v>
      </c>
      <c r="J1082" s="41"/>
      <c r="K1082" s="160"/>
      <c r="L1082" s="160"/>
      <c r="M1082" s="46"/>
      <c r="N1082" s="136"/>
      <c r="O1082" s="136"/>
      <c r="P1082" s="136"/>
      <c r="Q1082" s="136"/>
      <c r="R1082" s="136"/>
      <c r="S1082" s="136"/>
      <c r="T1082" s="136"/>
      <c r="U1082" s="136"/>
      <c r="V1082" s="136"/>
      <c r="W1082" s="136"/>
      <c r="X1082" s="136"/>
      <c r="Y1082" s="136"/>
      <c r="Z1082" s="136"/>
      <c r="AA1082" s="231"/>
    </row>
    <row r="1083" spans="1:27" x14ac:dyDescent="0.2">
      <c r="A1083" s="39"/>
      <c r="B1083" s="39"/>
      <c r="C1083" s="43"/>
      <c r="D1083" s="43"/>
      <c r="E1083" s="43"/>
      <c r="F1083" s="132"/>
      <c r="G1083" s="41" t="e">
        <f>VLOOKUP(F1083,Pcode!A:B,2,FALSE)</f>
        <v>#N/A</v>
      </c>
      <c r="H1083" s="41"/>
      <c r="I1083" s="41" t="e">
        <f>VLOOKUP(H1083,Pcode!C:D,2,FALSE)</f>
        <v>#N/A</v>
      </c>
      <c r="J1083" s="41"/>
      <c r="K1083" s="160"/>
      <c r="L1083" s="160"/>
      <c r="M1083" s="46"/>
      <c r="N1083" s="136"/>
      <c r="O1083" s="136"/>
      <c r="P1083" s="136"/>
      <c r="Q1083" s="136"/>
      <c r="R1083" s="136"/>
      <c r="S1083" s="136"/>
      <c r="T1083" s="136"/>
      <c r="U1083" s="136"/>
      <c r="V1083" s="136"/>
      <c r="W1083" s="136"/>
      <c r="X1083" s="136"/>
      <c r="Y1083" s="136"/>
      <c r="Z1083" s="136"/>
      <c r="AA1083" s="231"/>
    </row>
    <row r="1084" spans="1:27" x14ac:dyDescent="0.2">
      <c r="A1084" s="39"/>
      <c r="B1084" s="39"/>
      <c r="C1084" s="43"/>
      <c r="D1084" s="43"/>
      <c r="E1084" s="43"/>
      <c r="F1084" s="132"/>
      <c r="G1084" s="41" t="e">
        <f>VLOOKUP(F1084,Pcode!A:B,2,FALSE)</f>
        <v>#N/A</v>
      </c>
      <c r="H1084" s="41"/>
      <c r="I1084" s="41" t="e">
        <f>VLOOKUP(H1084,Pcode!C:D,2,FALSE)</f>
        <v>#N/A</v>
      </c>
      <c r="J1084" s="41"/>
      <c r="K1084" s="160"/>
      <c r="L1084" s="160"/>
      <c r="M1084" s="46"/>
      <c r="N1084" s="136"/>
      <c r="O1084" s="136"/>
      <c r="P1084" s="136"/>
      <c r="Q1084" s="136"/>
      <c r="R1084" s="136"/>
      <c r="S1084" s="136"/>
      <c r="T1084" s="136"/>
      <c r="U1084" s="136"/>
      <c r="V1084" s="136"/>
      <c r="W1084" s="136"/>
      <c r="X1084" s="136"/>
      <c r="Y1084" s="136"/>
      <c r="Z1084" s="136"/>
      <c r="AA1084" s="231"/>
    </row>
    <row r="1085" spans="1:27" x14ac:dyDescent="0.2">
      <c r="A1085" s="39"/>
      <c r="B1085" s="39"/>
      <c r="C1085" s="43"/>
      <c r="D1085" s="43"/>
      <c r="E1085" s="43"/>
      <c r="F1085" s="132"/>
      <c r="G1085" s="41" t="e">
        <f>VLOOKUP(F1085,Pcode!A:B,2,FALSE)</f>
        <v>#N/A</v>
      </c>
      <c r="H1085" s="41"/>
      <c r="I1085" s="41" t="e">
        <f>VLOOKUP(H1085,Pcode!C:D,2,FALSE)</f>
        <v>#N/A</v>
      </c>
      <c r="J1085" s="41"/>
      <c r="K1085" s="160"/>
      <c r="L1085" s="160"/>
      <c r="M1085" s="46"/>
      <c r="N1085" s="136"/>
      <c r="O1085" s="136"/>
      <c r="P1085" s="136"/>
      <c r="Q1085" s="136"/>
      <c r="R1085" s="136"/>
      <c r="S1085" s="136"/>
      <c r="T1085" s="136"/>
      <c r="U1085" s="136"/>
      <c r="V1085" s="136"/>
      <c r="W1085" s="136"/>
      <c r="X1085" s="136"/>
      <c r="Y1085" s="136"/>
      <c r="Z1085" s="136"/>
      <c r="AA1085" s="231"/>
    </row>
    <row r="1086" spans="1:27" x14ac:dyDescent="0.2">
      <c r="A1086" s="39"/>
      <c r="B1086" s="39"/>
      <c r="C1086" s="43"/>
      <c r="D1086" s="43"/>
      <c r="E1086" s="43"/>
      <c r="F1086" s="132"/>
      <c r="G1086" s="41" t="e">
        <f>VLOOKUP(F1086,Pcode!A:B,2,FALSE)</f>
        <v>#N/A</v>
      </c>
      <c r="H1086" s="41"/>
      <c r="I1086" s="41" t="e">
        <f>VLOOKUP(H1086,Pcode!C:D,2,FALSE)</f>
        <v>#N/A</v>
      </c>
      <c r="J1086" s="41"/>
      <c r="K1086" s="160"/>
      <c r="L1086" s="160"/>
      <c r="M1086" s="46"/>
      <c r="N1086" s="136"/>
      <c r="O1086" s="136"/>
      <c r="P1086" s="136"/>
      <c r="Q1086" s="136"/>
      <c r="R1086" s="136"/>
      <c r="S1086" s="136"/>
      <c r="T1086" s="136"/>
      <c r="U1086" s="136"/>
      <c r="V1086" s="136"/>
      <c r="W1086" s="136"/>
      <c r="X1086" s="136"/>
      <c r="Y1086" s="136"/>
      <c r="Z1086" s="136"/>
      <c r="AA1086" s="231"/>
    </row>
    <row r="1087" spans="1:27" x14ac:dyDescent="0.2">
      <c r="A1087" s="39"/>
      <c r="B1087" s="39"/>
      <c r="C1087" s="43"/>
      <c r="D1087" s="43"/>
      <c r="E1087" s="43"/>
      <c r="F1087" s="132"/>
      <c r="G1087" s="41" t="e">
        <f>VLOOKUP(F1087,Pcode!A:B,2,FALSE)</f>
        <v>#N/A</v>
      </c>
      <c r="H1087" s="41"/>
      <c r="I1087" s="41" t="e">
        <f>VLOOKUP(H1087,Pcode!C:D,2,FALSE)</f>
        <v>#N/A</v>
      </c>
      <c r="J1087" s="41"/>
      <c r="K1087" s="160"/>
      <c r="L1087" s="160"/>
      <c r="M1087" s="46"/>
      <c r="N1087" s="136"/>
      <c r="O1087" s="136"/>
      <c r="P1087" s="136"/>
      <c r="Q1087" s="136"/>
      <c r="R1087" s="136"/>
      <c r="S1087" s="136"/>
      <c r="T1087" s="136"/>
      <c r="U1087" s="136"/>
      <c r="V1087" s="136"/>
      <c r="W1087" s="136"/>
      <c r="X1087" s="136"/>
      <c r="Y1087" s="136"/>
      <c r="Z1087" s="136"/>
      <c r="AA1087" s="231"/>
    </row>
    <row r="1088" spans="1:27" x14ac:dyDescent="0.2">
      <c r="A1088" s="39"/>
      <c r="B1088" s="39"/>
      <c r="C1088" s="43"/>
      <c r="D1088" s="43"/>
      <c r="E1088" s="43"/>
      <c r="F1088" s="132"/>
      <c r="G1088" s="41" t="e">
        <f>VLOOKUP(F1088,Pcode!A:B,2,FALSE)</f>
        <v>#N/A</v>
      </c>
      <c r="H1088" s="41"/>
      <c r="I1088" s="41" t="e">
        <f>VLOOKUP(H1088,Pcode!C:D,2,FALSE)</f>
        <v>#N/A</v>
      </c>
      <c r="J1088" s="41"/>
      <c r="K1088" s="160"/>
      <c r="L1088" s="160"/>
      <c r="M1088" s="46"/>
      <c r="N1088" s="136"/>
      <c r="O1088" s="136"/>
      <c r="P1088" s="136"/>
      <c r="Q1088" s="136"/>
      <c r="R1088" s="136"/>
      <c r="S1088" s="136"/>
      <c r="T1088" s="136"/>
      <c r="U1088" s="136"/>
      <c r="V1088" s="136"/>
      <c r="W1088" s="136"/>
      <c r="X1088" s="136"/>
      <c r="Y1088" s="136"/>
      <c r="Z1088" s="136"/>
      <c r="AA1088" s="231"/>
    </row>
    <row r="1089" spans="1:27" x14ac:dyDescent="0.2">
      <c r="A1089" s="39"/>
      <c r="B1089" s="39"/>
      <c r="C1089" s="43"/>
      <c r="D1089" s="43"/>
      <c r="E1089" s="43"/>
      <c r="F1089" s="132"/>
      <c r="G1089" s="41" t="e">
        <f>VLOOKUP(F1089,Pcode!A:B,2,FALSE)</f>
        <v>#N/A</v>
      </c>
      <c r="H1089" s="41"/>
      <c r="I1089" s="41" t="e">
        <f>VLOOKUP(H1089,Pcode!C:D,2,FALSE)</f>
        <v>#N/A</v>
      </c>
      <c r="J1089" s="41"/>
      <c r="K1089" s="160"/>
      <c r="L1089" s="160"/>
      <c r="M1089" s="46"/>
      <c r="N1089" s="136"/>
      <c r="O1089" s="136"/>
      <c r="P1089" s="136"/>
      <c r="Q1089" s="136"/>
      <c r="R1089" s="136"/>
      <c r="S1089" s="136"/>
      <c r="T1089" s="136"/>
      <c r="U1089" s="136"/>
      <c r="V1089" s="136"/>
      <c r="W1089" s="136"/>
      <c r="X1089" s="136"/>
      <c r="Y1089" s="136"/>
      <c r="Z1089" s="136"/>
      <c r="AA1089" s="231"/>
    </row>
    <row r="1090" spans="1:27" x14ac:dyDescent="0.2">
      <c r="A1090" s="39"/>
      <c r="B1090" s="39"/>
      <c r="C1090" s="43"/>
      <c r="D1090" s="43"/>
      <c r="E1090" s="43"/>
      <c r="F1090" s="132"/>
      <c r="G1090" s="41" t="e">
        <f>VLOOKUP(F1090,Pcode!A:B,2,FALSE)</f>
        <v>#N/A</v>
      </c>
      <c r="H1090" s="41"/>
      <c r="I1090" s="41" t="e">
        <f>VLOOKUP(H1090,Pcode!C:D,2,FALSE)</f>
        <v>#N/A</v>
      </c>
      <c r="J1090" s="41"/>
      <c r="K1090" s="160"/>
      <c r="L1090" s="160"/>
      <c r="M1090" s="46"/>
      <c r="N1090" s="136"/>
      <c r="O1090" s="136"/>
      <c r="P1090" s="136"/>
      <c r="Q1090" s="136"/>
      <c r="R1090" s="136"/>
      <c r="S1090" s="136"/>
      <c r="T1090" s="136"/>
      <c r="U1090" s="136"/>
      <c r="V1090" s="136"/>
      <c r="W1090" s="136"/>
      <c r="X1090" s="136"/>
      <c r="Y1090" s="136"/>
      <c r="Z1090" s="136"/>
      <c r="AA1090" s="231"/>
    </row>
    <row r="1091" spans="1:27" x14ac:dyDescent="0.2">
      <c r="A1091" s="39"/>
      <c r="B1091" s="39"/>
      <c r="C1091" s="43"/>
      <c r="D1091" s="43"/>
      <c r="E1091" s="43"/>
      <c r="F1091" s="132"/>
      <c r="G1091" s="41" t="e">
        <f>VLOOKUP(F1091,Pcode!A:B,2,FALSE)</f>
        <v>#N/A</v>
      </c>
      <c r="H1091" s="41"/>
      <c r="I1091" s="41" t="e">
        <f>VLOOKUP(H1091,Pcode!C:D,2,FALSE)</f>
        <v>#N/A</v>
      </c>
      <c r="J1091" s="41"/>
      <c r="K1091" s="160"/>
      <c r="L1091" s="160"/>
      <c r="M1091" s="46"/>
      <c r="N1091" s="136"/>
      <c r="O1091" s="136"/>
      <c r="P1091" s="136"/>
      <c r="Q1091" s="136"/>
      <c r="R1091" s="136"/>
      <c r="S1091" s="136"/>
      <c r="T1091" s="136"/>
      <c r="U1091" s="136"/>
      <c r="V1091" s="136"/>
      <c r="W1091" s="136"/>
      <c r="X1091" s="136"/>
      <c r="Y1091" s="136"/>
      <c r="Z1091" s="136"/>
      <c r="AA1091" s="231"/>
    </row>
    <row r="1092" spans="1:27" x14ac:dyDescent="0.2">
      <c r="A1092" s="39"/>
      <c r="B1092" s="39"/>
      <c r="C1092" s="43"/>
      <c r="D1092" s="43"/>
      <c r="E1092" s="43"/>
      <c r="F1092" s="132"/>
      <c r="G1092" s="41" t="e">
        <f>VLOOKUP(F1092,Pcode!A:B,2,FALSE)</f>
        <v>#N/A</v>
      </c>
      <c r="H1092" s="41"/>
      <c r="I1092" s="41" t="e">
        <f>VLOOKUP(H1092,Pcode!C:D,2,FALSE)</f>
        <v>#N/A</v>
      </c>
      <c r="J1092" s="41"/>
      <c r="K1092" s="160"/>
      <c r="L1092" s="160"/>
      <c r="M1092" s="46"/>
      <c r="N1092" s="136"/>
      <c r="O1092" s="136"/>
      <c r="P1092" s="136"/>
      <c r="Q1092" s="136"/>
      <c r="R1092" s="136"/>
      <c r="S1092" s="136"/>
      <c r="T1092" s="136"/>
      <c r="U1092" s="136"/>
      <c r="V1092" s="136"/>
      <c r="W1092" s="136"/>
      <c r="X1092" s="136"/>
      <c r="Y1092" s="136"/>
      <c r="Z1092" s="136"/>
      <c r="AA1092" s="231"/>
    </row>
    <row r="1093" spans="1:27" x14ac:dyDescent="0.2">
      <c r="A1093" s="39"/>
      <c r="B1093" s="39"/>
      <c r="C1093" s="43"/>
      <c r="D1093" s="43"/>
      <c r="E1093" s="43"/>
      <c r="F1093" s="132"/>
      <c r="G1093" s="41" t="e">
        <f>VLOOKUP(F1093,Pcode!A:B,2,FALSE)</f>
        <v>#N/A</v>
      </c>
      <c r="H1093" s="41"/>
      <c r="I1093" s="41" t="e">
        <f>VLOOKUP(H1093,Pcode!C:D,2,FALSE)</f>
        <v>#N/A</v>
      </c>
      <c r="J1093" s="41"/>
      <c r="K1093" s="160"/>
      <c r="L1093" s="160"/>
      <c r="M1093" s="46"/>
      <c r="N1093" s="136"/>
      <c r="O1093" s="136"/>
      <c r="P1093" s="136"/>
      <c r="Q1093" s="136"/>
      <c r="R1093" s="136"/>
      <c r="S1093" s="136"/>
      <c r="T1093" s="136"/>
      <c r="U1093" s="136"/>
      <c r="V1093" s="136"/>
      <c r="W1093" s="136"/>
      <c r="X1093" s="136"/>
      <c r="Y1093" s="136"/>
      <c r="Z1093" s="136"/>
      <c r="AA1093" s="231"/>
    </row>
    <row r="1094" spans="1:27" x14ac:dyDescent="0.2">
      <c r="A1094" s="39"/>
      <c r="B1094" s="39"/>
      <c r="C1094" s="43"/>
      <c r="D1094" s="43"/>
      <c r="E1094" s="43"/>
      <c r="F1094" s="132"/>
      <c r="G1094" s="41" t="e">
        <f>VLOOKUP(F1094,Pcode!A:B,2,FALSE)</f>
        <v>#N/A</v>
      </c>
      <c r="H1094" s="41"/>
      <c r="I1094" s="41" t="e">
        <f>VLOOKUP(H1094,Pcode!C:D,2,FALSE)</f>
        <v>#N/A</v>
      </c>
      <c r="J1094" s="41"/>
      <c r="K1094" s="160"/>
      <c r="L1094" s="160"/>
      <c r="M1094" s="46"/>
      <c r="N1094" s="136"/>
      <c r="O1094" s="136"/>
      <c r="P1094" s="136"/>
      <c r="Q1094" s="136"/>
      <c r="R1094" s="136"/>
      <c r="S1094" s="136"/>
      <c r="T1094" s="136"/>
      <c r="U1094" s="136"/>
      <c r="V1094" s="136"/>
      <c r="W1094" s="136"/>
      <c r="X1094" s="136"/>
      <c r="Y1094" s="136"/>
      <c r="Z1094" s="136"/>
      <c r="AA1094" s="231"/>
    </row>
    <row r="1095" spans="1:27" x14ac:dyDescent="0.2">
      <c r="A1095" s="39"/>
      <c r="B1095" s="39"/>
      <c r="C1095" s="43"/>
      <c r="D1095" s="43"/>
      <c r="E1095" s="43"/>
      <c r="F1095" s="132"/>
      <c r="G1095" s="41" t="e">
        <f>VLOOKUP(F1095,Pcode!A:B,2,FALSE)</f>
        <v>#N/A</v>
      </c>
      <c r="H1095" s="41"/>
      <c r="I1095" s="41" t="e">
        <f>VLOOKUP(H1095,Pcode!C:D,2,FALSE)</f>
        <v>#N/A</v>
      </c>
      <c r="J1095" s="41"/>
      <c r="K1095" s="160"/>
      <c r="L1095" s="160"/>
      <c r="M1095" s="46"/>
      <c r="N1095" s="136"/>
      <c r="O1095" s="136"/>
      <c r="P1095" s="136"/>
      <c r="Q1095" s="136"/>
      <c r="R1095" s="136"/>
      <c r="S1095" s="136"/>
      <c r="T1095" s="136"/>
      <c r="U1095" s="136"/>
      <c r="V1095" s="136"/>
      <c r="W1095" s="136"/>
      <c r="X1095" s="136"/>
      <c r="Y1095" s="136"/>
      <c r="Z1095" s="136"/>
      <c r="AA1095" s="231"/>
    </row>
    <row r="1096" spans="1:27" x14ac:dyDescent="0.2">
      <c r="A1096" s="39"/>
      <c r="B1096" s="39"/>
      <c r="C1096" s="43"/>
      <c r="D1096" s="43"/>
      <c r="E1096" s="43"/>
      <c r="F1096" s="132"/>
      <c r="G1096" s="41" t="e">
        <f>VLOOKUP(F1096,Pcode!A:B,2,FALSE)</f>
        <v>#N/A</v>
      </c>
      <c r="H1096" s="41"/>
      <c r="I1096" s="41" t="e">
        <f>VLOOKUP(H1096,Pcode!C:D,2,FALSE)</f>
        <v>#N/A</v>
      </c>
      <c r="J1096" s="41"/>
      <c r="K1096" s="160"/>
      <c r="L1096" s="160"/>
      <c r="M1096" s="46"/>
      <c r="N1096" s="136"/>
      <c r="O1096" s="136"/>
      <c r="P1096" s="136"/>
      <c r="Q1096" s="136"/>
      <c r="R1096" s="136"/>
      <c r="S1096" s="136"/>
      <c r="T1096" s="136"/>
      <c r="U1096" s="136"/>
      <c r="V1096" s="136"/>
      <c r="W1096" s="136"/>
      <c r="X1096" s="136"/>
      <c r="Y1096" s="136"/>
      <c r="Z1096" s="136"/>
      <c r="AA1096" s="231"/>
    </row>
    <row r="1097" spans="1:27" x14ac:dyDescent="0.2">
      <c r="A1097" s="39"/>
      <c r="B1097" s="39"/>
      <c r="C1097" s="43"/>
      <c r="D1097" s="43"/>
      <c r="E1097" s="43"/>
      <c r="F1097" s="132"/>
      <c r="G1097" s="41" t="e">
        <f>VLOOKUP(F1097,Pcode!A:B,2,FALSE)</f>
        <v>#N/A</v>
      </c>
      <c r="H1097" s="41"/>
      <c r="I1097" s="41" t="e">
        <f>VLOOKUP(H1097,Pcode!C:D,2,FALSE)</f>
        <v>#N/A</v>
      </c>
      <c r="J1097" s="41"/>
      <c r="K1097" s="160"/>
      <c r="L1097" s="160"/>
      <c r="M1097" s="46"/>
      <c r="N1097" s="136"/>
      <c r="O1097" s="136"/>
      <c r="P1097" s="136"/>
      <c r="Q1097" s="136"/>
      <c r="R1097" s="136"/>
      <c r="S1097" s="136"/>
      <c r="T1097" s="136"/>
      <c r="U1097" s="136"/>
      <c r="V1097" s="136"/>
      <c r="W1097" s="136"/>
      <c r="X1097" s="136"/>
      <c r="Y1097" s="136"/>
      <c r="Z1097" s="136"/>
      <c r="AA1097" s="231"/>
    </row>
    <row r="1098" spans="1:27" x14ac:dyDescent="0.2">
      <c r="A1098" s="39"/>
      <c r="B1098" s="39"/>
      <c r="C1098" s="43"/>
      <c r="D1098" s="43"/>
      <c r="E1098" s="43"/>
      <c r="F1098" s="132"/>
      <c r="G1098" s="41" t="e">
        <f>VLOOKUP(F1098,Pcode!A:B,2,FALSE)</f>
        <v>#N/A</v>
      </c>
      <c r="H1098" s="41"/>
      <c r="I1098" s="41" t="e">
        <f>VLOOKUP(H1098,Pcode!C:D,2,FALSE)</f>
        <v>#N/A</v>
      </c>
      <c r="J1098" s="41"/>
      <c r="K1098" s="160"/>
      <c r="L1098" s="160"/>
      <c r="M1098" s="46"/>
      <c r="N1098" s="136"/>
      <c r="O1098" s="136"/>
      <c r="P1098" s="136"/>
      <c r="Q1098" s="136"/>
      <c r="R1098" s="136"/>
      <c r="S1098" s="136"/>
      <c r="T1098" s="136"/>
      <c r="U1098" s="136"/>
      <c r="V1098" s="136"/>
      <c r="W1098" s="136"/>
      <c r="X1098" s="136"/>
      <c r="Y1098" s="136"/>
      <c r="Z1098" s="136"/>
      <c r="AA1098" s="231"/>
    </row>
    <row r="1099" spans="1:27" x14ac:dyDescent="0.2">
      <c r="A1099" s="39"/>
      <c r="B1099" s="39"/>
      <c r="C1099" s="43"/>
      <c r="D1099" s="43"/>
      <c r="E1099" s="43"/>
      <c r="F1099" s="132"/>
      <c r="G1099" s="41" t="e">
        <f>VLOOKUP(F1099,Pcode!A:B,2,FALSE)</f>
        <v>#N/A</v>
      </c>
      <c r="H1099" s="41"/>
      <c r="I1099" s="41" t="e">
        <f>VLOOKUP(H1099,Pcode!C:D,2,FALSE)</f>
        <v>#N/A</v>
      </c>
      <c r="J1099" s="41"/>
      <c r="K1099" s="160"/>
      <c r="L1099" s="160"/>
      <c r="M1099" s="46"/>
      <c r="N1099" s="136"/>
      <c r="O1099" s="136"/>
      <c r="P1099" s="136"/>
      <c r="Q1099" s="136"/>
      <c r="R1099" s="136"/>
      <c r="S1099" s="136"/>
      <c r="T1099" s="136"/>
      <c r="U1099" s="136"/>
      <c r="V1099" s="136"/>
      <c r="W1099" s="136"/>
      <c r="X1099" s="136"/>
      <c r="Y1099" s="136"/>
      <c r="Z1099" s="136"/>
      <c r="AA1099" s="231"/>
    </row>
    <row r="1100" spans="1:27" x14ac:dyDescent="0.2">
      <c r="A1100" s="39"/>
      <c r="B1100" s="39"/>
      <c r="C1100" s="43"/>
      <c r="D1100" s="43"/>
      <c r="E1100" s="43"/>
      <c r="F1100" s="132"/>
      <c r="G1100" s="41" t="e">
        <f>VLOOKUP(F1100,Pcode!A:B,2,FALSE)</f>
        <v>#N/A</v>
      </c>
      <c r="H1100" s="41"/>
      <c r="I1100" s="41" t="e">
        <f>VLOOKUP(H1100,Pcode!C:D,2,FALSE)</f>
        <v>#N/A</v>
      </c>
      <c r="J1100" s="41"/>
      <c r="K1100" s="160"/>
      <c r="L1100" s="160"/>
      <c r="M1100" s="46"/>
      <c r="N1100" s="136"/>
      <c r="O1100" s="136"/>
      <c r="P1100" s="136"/>
      <c r="Q1100" s="136"/>
      <c r="R1100" s="136"/>
      <c r="S1100" s="136"/>
      <c r="T1100" s="136"/>
      <c r="U1100" s="136"/>
      <c r="V1100" s="136"/>
      <c r="W1100" s="136"/>
      <c r="X1100" s="136"/>
      <c r="Y1100" s="136"/>
      <c r="Z1100" s="136"/>
      <c r="AA1100" s="231"/>
    </row>
    <row r="1101" spans="1:27" x14ac:dyDescent="0.2">
      <c r="A1101" s="39"/>
      <c r="B1101" s="39"/>
      <c r="C1101" s="43"/>
      <c r="D1101" s="43"/>
      <c r="E1101" s="43"/>
      <c r="F1101" s="132"/>
      <c r="G1101" s="41" t="e">
        <f>VLOOKUP(F1101,Pcode!A:B,2,FALSE)</f>
        <v>#N/A</v>
      </c>
      <c r="H1101" s="41"/>
      <c r="I1101" s="41" t="e">
        <f>VLOOKUP(H1101,Pcode!C:D,2,FALSE)</f>
        <v>#N/A</v>
      </c>
      <c r="J1101" s="41"/>
      <c r="K1101" s="160"/>
      <c r="L1101" s="160"/>
      <c r="M1101" s="46"/>
      <c r="N1101" s="136"/>
      <c r="O1101" s="136"/>
      <c r="P1101" s="136"/>
      <c r="Q1101" s="136"/>
      <c r="R1101" s="136"/>
      <c r="S1101" s="136"/>
      <c r="T1101" s="136"/>
      <c r="U1101" s="136"/>
      <c r="V1101" s="136"/>
      <c r="W1101" s="136"/>
      <c r="X1101" s="136"/>
      <c r="Y1101" s="136"/>
      <c r="Z1101" s="136"/>
      <c r="AA1101" s="231"/>
    </row>
    <row r="1102" spans="1:27" x14ac:dyDescent="0.2">
      <c r="A1102" s="39"/>
      <c r="B1102" s="39"/>
      <c r="C1102" s="43"/>
      <c r="D1102" s="43"/>
      <c r="E1102" s="43"/>
      <c r="F1102" s="132"/>
      <c r="G1102" s="41" t="e">
        <f>VLOOKUP(F1102,Pcode!A:B,2,FALSE)</f>
        <v>#N/A</v>
      </c>
      <c r="H1102" s="41"/>
      <c r="I1102" s="41" t="e">
        <f>VLOOKUP(H1102,Pcode!C:D,2,FALSE)</f>
        <v>#N/A</v>
      </c>
      <c r="J1102" s="41"/>
      <c r="K1102" s="160"/>
      <c r="L1102" s="160"/>
      <c r="M1102" s="46"/>
      <c r="N1102" s="136"/>
      <c r="O1102" s="136"/>
      <c r="P1102" s="136"/>
      <c r="Q1102" s="136"/>
      <c r="R1102" s="136"/>
      <c r="S1102" s="136"/>
      <c r="T1102" s="136"/>
      <c r="U1102" s="136"/>
      <c r="V1102" s="136"/>
      <c r="W1102" s="136"/>
      <c r="X1102" s="136"/>
      <c r="Y1102" s="136"/>
      <c r="Z1102" s="136"/>
      <c r="AA1102" s="231"/>
    </row>
    <row r="1103" spans="1:27" x14ac:dyDescent="0.2">
      <c r="A1103" s="39"/>
      <c r="B1103" s="39"/>
      <c r="C1103" s="43"/>
      <c r="D1103" s="43"/>
      <c r="E1103" s="43"/>
      <c r="F1103" s="132"/>
      <c r="G1103" s="41" t="e">
        <f>VLOOKUP(F1103,Pcode!A:B,2,FALSE)</f>
        <v>#N/A</v>
      </c>
      <c r="H1103" s="41"/>
      <c r="I1103" s="41" t="e">
        <f>VLOOKUP(H1103,Pcode!C:D,2,FALSE)</f>
        <v>#N/A</v>
      </c>
      <c r="J1103" s="41"/>
      <c r="K1103" s="160"/>
      <c r="L1103" s="160"/>
      <c r="M1103" s="46"/>
      <c r="N1103" s="136"/>
      <c r="O1103" s="136"/>
      <c r="P1103" s="136"/>
      <c r="Q1103" s="136"/>
      <c r="R1103" s="136"/>
      <c r="S1103" s="136"/>
      <c r="T1103" s="136"/>
      <c r="U1103" s="136"/>
      <c r="V1103" s="136"/>
      <c r="W1103" s="136"/>
      <c r="X1103" s="136"/>
      <c r="Y1103" s="136"/>
      <c r="Z1103" s="136"/>
      <c r="AA1103" s="231"/>
    </row>
    <row r="1104" spans="1:27" x14ac:dyDescent="0.2">
      <c r="A1104" s="39"/>
      <c r="B1104" s="39"/>
      <c r="C1104" s="43"/>
      <c r="D1104" s="43"/>
      <c r="E1104" s="43"/>
      <c r="F1104" s="132"/>
      <c r="G1104" s="41" t="e">
        <f>VLOOKUP(F1104,Pcode!A:B,2,FALSE)</f>
        <v>#N/A</v>
      </c>
      <c r="H1104" s="41"/>
      <c r="I1104" s="41" t="e">
        <f>VLOOKUP(H1104,Pcode!C:D,2,FALSE)</f>
        <v>#N/A</v>
      </c>
      <c r="J1104" s="41"/>
      <c r="K1104" s="160"/>
      <c r="L1104" s="160"/>
      <c r="M1104" s="46"/>
      <c r="N1104" s="136"/>
      <c r="O1104" s="136"/>
      <c r="P1104" s="136"/>
      <c r="Q1104" s="136"/>
      <c r="R1104" s="136"/>
      <c r="S1104" s="136"/>
      <c r="T1104" s="136"/>
      <c r="U1104" s="136"/>
      <c r="V1104" s="136"/>
      <c r="W1104" s="136"/>
      <c r="X1104" s="136"/>
      <c r="Y1104" s="136"/>
      <c r="Z1104" s="136"/>
      <c r="AA1104" s="231"/>
    </row>
    <row r="1105" spans="1:27" x14ac:dyDescent="0.2">
      <c r="A1105" s="39"/>
      <c r="B1105" s="39"/>
      <c r="C1105" s="43"/>
      <c r="D1105" s="43"/>
      <c r="E1105" s="43"/>
      <c r="F1105" s="132"/>
      <c r="G1105" s="41" t="e">
        <f>VLOOKUP(F1105,Pcode!A:B,2,FALSE)</f>
        <v>#N/A</v>
      </c>
      <c r="H1105" s="41"/>
      <c r="I1105" s="41" t="e">
        <f>VLOOKUP(H1105,Pcode!C:D,2,FALSE)</f>
        <v>#N/A</v>
      </c>
      <c r="J1105" s="41"/>
      <c r="K1105" s="160"/>
      <c r="L1105" s="160"/>
      <c r="M1105" s="46"/>
      <c r="N1105" s="136"/>
      <c r="O1105" s="136"/>
      <c r="P1105" s="136"/>
      <c r="Q1105" s="136"/>
      <c r="R1105" s="136"/>
      <c r="S1105" s="136"/>
      <c r="T1105" s="136"/>
      <c r="U1105" s="136"/>
      <c r="V1105" s="136"/>
      <c r="W1105" s="136"/>
      <c r="X1105" s="136"/>
      <c r="Y1105" s="136"/>
      <c r="Z1105" s="136"/>
      <c r="AA1105" s="231"/>
    </row>
    <row r="1106" spans="1:27" x14ac:dyDescent="0.2">
      <c r="A1106" s="39"/>
      <c r="B1106" s="39"/>
      <c r="C1106" s="43"/>
      <c r="D1106" s="43"/>
      <c r="E1106" s="43"/>
      <c r="F1106" s="132"/>
      <c r="G1106" s="41" t="e">
        <f>VLOOKUP(F1106,Pcode!A:B,2,FALSE)</f>
        <v>#N/A</v>
      </c>
      <c r="H1106" s="41"/>
      <c r="I1106" s="41" t="e">
        <f>VLOOKUP(H1106,Pcode!C:D,2,FALSE)</f>
        <v>#N/A</v>
      </c>
      <c r="J1106" s="41"/>
      <c r="K1106" s="160"/>
      <c r="L1106" s="160"/>
      <c r="M1106" s="46"/>
      <c r="N1106" s="136"/>
      <c r="O1106" s="136"/>
      <c r="P1106" s="136"/>
      <c r="Q1106" s="136"/>
      <c r="R1106" s="136"/>
      <c r="S1106" s="136"/>
      <c r="T1106" s="136"/>
      <c r="U1106" s="136"/>
      <c r="V1106" s="136"/>
      <c r="W1106" s="136"/>
      <c r="X1106" s="136"/>
      <c r="Y1106" s="136"/>
      <c r="Z1106" s="136"/>
      <c r="AA1106" s="231"/>
    </row>
    <row r="1107" spans="1:27" x14ac:dyDescent="0.2">
      <c r="A1107" s="39"/>
      <c r="B1107" s="39"/>
      <c r="C1107" s="43"/>
      <c r="D1107" s="43"/>
      <c r="E1107" s="43"/>
      <c r="F1107" s="132"/>
      <c r="G1107" s="41" t="e">
        <f>VLOOKUP(F1107,Pcode!A:B,2,FALSE)</f>
        <v>#N/A</v>
      </c>
      <c r="H1107" s="41"/>
      <c r="I1107" s="41" t="e">
        <f>VLOOKUP(H1107,Pcode!C:D,2,FALSE)</f>
        <v>#N/A</v>
      </c>
      <c r="J1107" s="41"/>
      <c r="K1107" s="160"/>
      <c r="L1107" s="160"/>
      <c r="M1107" s="46"/>
      <c r="N1107" s="136"/>
      <c r="O1107" s="136"/>
      <c r="P1107" s="136"/>
      <c r="Q1107" s="136"/>
      <c r="R1107" s="136"/>
      <c r="S1107" s="136"/>
      <c r="T1107" s="136"/>
      <c r="U1107" s="136"/>
      <c r="V1107" s="136"/>
      <c r="W1107" s="136"/>
      <c r="X1107" s="136"/>
      <c r="Y1107" s="136"/>
      <c r="Z1107" s="136"/>
      <c r="AA1107" s="231"/>
    </row>
    <row r="1108" spans="1:27" x14ac:dyDescent="0.2">
      <c r="A1108" s="39"/>
      <c r="B1108" s="39"/>
      <c r="C1108" s="43"/>
      <c r="D1108" s="43"/>
      <c r="E1108" s="43"/>
      <c r="F1108" s="132"/>
      <c r="G1108" s="41" t="e">
        <f>VLOOKUP(F1108,Pcode!A:B,2,FALSE)</f>
        <v>#N/A</v>
      </c>
      <c r="H1108" s="41"/>
      <c r="I1108" s="41" t="e">
        <f>VLOOKUP(H1108,Pcode!C:D,2,FALSE)</f>
        <v>#N/A</v>
      </c>
      <c r="J1108" s="41"/>
      <c r="K1108" s="160"/>
      <c r="L1108" s="160"/>
      <c r="M1108" s="46"/>
      <c r="N1108" s="136"/>
      <c r="O1108" s="136"/>
      <c r="P1108" s="136"/>
      <c r="Q1108" s="136"/>
      <c r="R1108" s="136"/>
      <c r="S1108" s="136"/>
      <c r="T1108" s="136"/>
      <c r="U1108" s="136"/>
      <c r="V1108" s="136"/>
      <c r="W1108" s="136"/>
      <c r="X1108" s="136"/>
      <c r="Y1108" s="136"/>
      <c r="Z1108" s="136"/>
      <c r="AA1108" s="231"/>
    </row>
    <row r="1109" spans="1:27" x14ac:dyDescent="0.2">
      <c r="A1109" s="39"/>
      <c r="B1109" s="39"/>
      <c r="C1109" s="43"/>
      <c r="D1109" s="43"/>
      <c r="E1109" s="43"/>
      <c r="F1109" s="132"/>
      <c r="G1109" s="41" t="e">
        <f>VLOOKUP(F1109,Pcode!A:B,2,FALSE)</f>
        <v>#N/A</v>
      </c>
      <c r="H1109" s="41"/>
      <c r="I1109" s="41" t="e">
        <f>VLOOKUP(H1109,Pcode!C:D,2,FALSE)</f>
        <v>#N/A</v>
      </c>
      <c r="J1109" s="41"/>
      <c r="K1109" s="160"/>
      <c r="L1109" s="160"/>
      <c r="M1109" s="46"/>
      <c r="N1109" s="136"/>
      <c r="O1109" s="136"/>
      <c r="P1109" s="136"/>
      <c r="Q1109" s="136"/>
      <c r="R1109" s="136"/>
      <c r="S1109" s="136"/>
      <c r="T1109" s="136"/>
      <c r="U1109" s="136"/>
      <c r="V1109" s="136"/>
      <c r="W1109" s="136"/>
      <c r="X1109" s="136"/>
      <c r="Y1109" s="136"/>
      <c r="Z1109" s="136"/>
      <c r="AA1109" s="231"/>
    </row>
    <row r="1110" spans="1:27" x14ac:dyDescent="0.2">
      <c r="A1110" s="39"/>
      <c r="B1110" s="39"/>
      <c r="C1110" s="43"/>
      <c r="D1110" s="43"/>
      <c r="E1110" s="43"/>
      <c r="F1110" s="132"/>
      <c r="G1110" s="41" t="e">
        <f>VLOOKUP(F1110,Pcode!A:B,2,FALSE)</f>
        <v>#N/A</v>
      </c>
      <c r="H1110" s="41"/>
      <c r="I1110" s="41" t="e">
        <f>VLOOKUP(H1110,Pcode!C:D,2,FALSE)</f>
        <v>#N/A</v>
      </c>
      <c r="J1110" s="41"/>
      <c r="K1110" s="160"/>
      <c r="L1110" s="160"/>
      <c r="M1110" s="46"/>
      <c r="N1110" s="136"/>
      <c r="O1110" s="136"/>
      <c r="P1110" s="136"/>
      <c r="Q1110" s="136"/>
      <c r="R1110" s="136"/>
      <c r="S1110" s="136"/>
      <c r="T1110" s="136"/>
      <c r="U1110" s="136"/>
      <c r="V1110" s="136"/>
      <c r="W1110" s="136"/>
      <c r="X1110" s="136"/>
      <c r="Y1110" s="136"/>
      <c r="Z1110" s="136"/>
      <c r="AA1110" s="231"/>
    </row>
    <row r="1111" spans="1:27" x14ac:dyDescent="0.2">
      <c r="A1111" s="39"/>
      <c r="B1111" s="39"/>
      <c r="C1111" s="43"/>
      <c r="D1111" s="43"/>
      <c r="E1111" s="43"/>
      <c r="F1111" s="132"/>
      <c r="G1111" s="41" t="e">
        <f>VLOOKUP(F1111,Pcode!A:B,2,FALSE)</f>
        <v>#N/A</v>
      </c>
      <c r="H1111" s="41"/>
      <c r="I1111" s="41" t="e">
        <f>VLOOKUP(H1111,Pcode!C:D,2,FALSE)</f>
        <v>#N/A</v>
      </c>
      <c r="J1111" s="41"/>
      <c r="K1111" s="160"/>
      <c r="L1111" s="160"/>
      <c r="M1111" s="46"/>
      <c r="N1111" s="136"/>
      <c r="O1111" s="136"/>
      <c r="P1111" s="136"/>
      <c r="Q1111" s="136"/>
      <c r="R1111" s="136"/>
      <c r="S1111" s="136"/>
      <c r="T1111" s="136"/>
      <c r="U1111" s="136"/>
      <c r="V1111" s="136"/>
      <c r="W1111" s="136"/>
      <c r="X1111" s="136"/>
      <c r="Y1111" s="136"/>
      <c r="Z1111" s="136"/>
      <c r="AA1111" s="231"/>
    </row>
    <row r="1112" spans="1:27" x14ac:dyDescent="0.2">
      <c r="A1112" s="39"/>
      <c r="B1112" s="39"/>
      <c r="C1112" s="43"/>
      <c r="D1112" s="43"/>
      <c r="E1112" s="43"/>
      <c r="F1112" s="132"/>
      <c r="G1112" s="41" t="e">
        <f>VLOOKUP(F1112,Pcode!A:B,2,FALSE)</f>
        <v>#N/A</v>
      </c>
      <c r="H1112" s="41"/>
      <c r="I1112" s="41" t="e">
        <f>VLOOKUP(H1112,Pcode!C:D,2,FALSE)</f>
        <v>#N/A</v>
      </c>
      <c r="J1112" s="41"/>
      <c r="K1112" s="160"/>
      <c r="L1112" s="160"/>
      <c r="M1112" s="46"/>
      <c r="N1112" s="136"/>
      <c r="O1112" s="136"/>
      <c r="P1112" s="136"/>
      <c r="Q1112" s="136"/>
      <c r="R1112" s="136"/>
      <c r="S1112" s="136"/>
      <c r="T1112" s="136"/>
      <c r="U1112" s="136"/>
      <c r="V1112" s="136"/>
      <c r="W1112" s="136"/>
      <c r="X1112" s="136"/>
      <c r="Y1112" s="136"/>
      <c r="Z1112" s="136"/>
      <c r="AA1112" s="231"/>
    </row>
    <row r="1113" spans="1:27" x14ac:dyDescent="0.2">
      <c r="A1113" s="39"/>
      <c r="B1113" s="39"/>
      <c r="C1113" s="43"/>
      <c r="D1113" s="43"/>
      <c r="E1113" s="43"/>
      <c r="F1113" s="132"/>
      <c r="G1113" s="41" t="e">
        <f>VLOOKUP(F1113,Pcode!A:B,2,FALSE)</f>
        <v>#N/A</v>
      </c>
      <c r="H1113" s="41"/>
      <c r="I1113" s="41" t="e">
        <f>VLOOKUP(H1113,Pcode!C:D,2,FALSE)</f>
        <v>#N/A</v>
      </c>
      <c r="J1113" s="41"/>
      <c r="K1113" s="160"/>
      <c r="L1113" s="160"/>
      <c r="M1113" s="46"/>
      <c r="N1113" s="136"/>
      <c r="O1113" s="136"/>
      <c r="P1113" s="136"/>
      <c r="Q1113" s="136"/>
      <c r="R1113" s="136"/>
      <c r="S1113" s="136"/>
      <c r="T1113" s="136"/>
      <c r="U1113" s="136"/>
      <c r="V1113" s="136"/>
      <c r="W1113" s="136"/>
      <c r="X1113" s="136"/>
      <c r="Y1113" s="136"/>
      <c r="Z1113" s="136"/>
      <c r="AA1113" s="231"/>
    </row>
    <row r="1114" spans="1:27" x14ac:dyDescent="0.2">
      <c r="A1114" s="39"/>
      <c r="B1114" s="39"/>
      <c r="C1114" s="43"/>
      <c r="D1114" s="43"/>
      <c r="E1114" s="43"/>
      <c r="F1114" s="132"/>
      <c r="G1114" s="41" t="e">
        <f>VLOOKUP(F1114,Pcode!A:B,2,FALSE)</f>
        <v>#N/A</v>
      </c>
      <c r="H1114" s="41"/>
      <c r="I1114" s="41" t="e">
        <f>VLOOKUP(H1114,Pcode!C:D,2,FALSE)</f>
        <v>#N/A</v>
      </c>
      <c r="J1114" s="41"/>
      <c r="K1114" s="160"/>
      <c r="L1114" s="160"/>
      <c r="M1114" s="46"/>
      <c r="N1114" s="136"/>
      <c r="O1114" s="136"/>
      <c r="P1114" s="136"/>
      <c r="Q1114" s="136"/>
      <c r="R1114" s="136"/>
      <c r="S1114" s="136"/>
      <c r="T1114" s="136"/>
      <c r="U1114" s="136"/>
      <c r="V1114" s="136"/>
      <c r="W1114" s="136"/>
      <c r="X1114" s="136"/>
      <c r="Y1114" s="136"/>
      <c r="Z1114" s="136"/>
      <c r="AA1114" s="231"/>
    </row>
    <row r="1115" spans="1:27" x14ac:dyDescent="0.2">
      <c r="A1115" s="39"/>
      <c r="B1115" s="39"/>
      <c r="C1115" s="43"/>
      <c r="D1115" s="43"/>
      <c r="E1115" s="43"/>
      <c r="F1115" s="132"/>
      <c r="G1115" s="41" t="e">
        <f>VLOOKUP(F1115,Pcode!A:B,2,FALSE)</f>
        <v>#N/A</v>
      </c>
      <c r="H1115" s="41"/>
      <c r="I1115" s="41" t="e">
        <f>VLOOKUP(H1115,Pcode!C:D,2,FALSE)</f>
        <v>#N/A</v>
      </c>
      <c r="J1115" s="41"/>
      <c r="K1115" s="160"/>
      <c r="L1115" s="160"/>
      <c r="M1115" s="46"/>
      <c r="N1115" s="136"/>
      <c r="O1115" s="136"/>
      <c r="P1115" s="136"/>
      <c r="Q1115" s="136"/>
      <c r="R1115" s="136"/>
      <c r="S1115" s="136"/>
      <c r="T1115" s="136"/>
      <c r="U1115" s="136"/>
      <c r="V1115" s="136"/>
      <c r="W1115" s="136"/>
      <c r="X1115" s="136"/>
      <c r="Y1115" s="136"/>
      <c r="Z1115" s="136"/>
      <c r="AA1115" s="231"/>
    </row>
    <row r="1116" spans="1:27" x14ac:dyDescent="0.2">
      <c r="A1116" s="39"/>
      <c r="B1116" s="39"/>
      <c r="C1116" s="43"/>
      <c r="D1116" s="43"/>
      <c r="E1116" s="43"/>
      <c r="F1116" s="132"/>
      <c r="G1116" s="41" t="e">
        <f>VLOOKUP(F1116,Pcode!A:B,2,FALSE)</f>
        <v>#N/A</v>
      </c>
      <c r="H1116" s="41"/>
      <c r="I1116" s="41" t="e">
        <f>VLOOKUP(H1116,Pcode!C:D,2,FALSE)</f>
        <v>#N/A</v>
      </c>
      <c r="J1116" s="41"/>
      <c r="K1116" s="160"/>
      <c r="L1116" s="160"/>
      <c r="M1116" s="46"/>
      <c r="N1116" s="136"/>
      <c r="O1116" s="136"/>
      <c r="P1116" s="136"/>
      <c r="Q1116" s="136"/>
      <c r="R1116" s="136"/>
      <c r="S1116" s="136"/>
      <c r="T1116" s="136"/>
      <c r="U1116" s="136"/>
      <c r="V1116" s="136"/>
      <c r="W1116" s="136"/>
      <c r="X1116" s="136"/>
      <c r="Y1116" s="136"/>
      <c r="Z1116" s="136"/>
      <c r="AA1116" s="231"/>
    </row>
    <row r="1117" spans="1:27" x14ac:dyDescent="0.2">
      <c r="A1117" s="39"/>
      <c r="B1117" s="39"/>
      <c r="C1117" s="43"/>
      <c r="D1117" s="43"/>
      <c r="E1117" s="43"/>
      <c r="F1117" s="132"/>
      <c r="G1117" s="41" t="e">
        <f>VLOOKUP(F1117,Pcode!A:B,2,FALSE)</f>
        <v>#N/A</v>
      </c>
      <c r="H1117" s="41"/>
      <c r="I1117" s="41" t="e">
        <f>VLOOKUP(H1117,Pcode!C:D,2,FALSE)</f>
        <v>#N/A</v>
      </c>
      <c r="J1117" s="41"/>
      <c r="K1117" s="160"/>
      <c r="L1117" s="160"/>
      <c r="M1117" s="46"/>
      <c r="N1117" s="136"/>
      <c r="O1117" s="136"/>
      <c r="P1117" s="136"/>
      <c r="Q1117" s="136"/>
      <c r="R1117" s="136"/>
      <c r="S1117" s="136"/>
      <c r="T1117" s="136"/>
      <c r="U1117" s="136"/>
      <c r="V1117" s="136"/>
      <c r="W1117" s="136"/>
      <c r="X1117" s="136"/>
      <c r="Y1117" s="136"/>
      <c r="Z1117" s="136"/>
      <c r="AA1117" s="231"/>
    </row>
    <row r="1118" spans="1:27" x14ac:dyDescent="0.2">
      <c r="A1118" s="39"/>
      <c r="B1118" s="39"/>
      <c r="C1118" s="43"/>
      <c r="D1118" s="43"/>
      <c r="E1118" s="43"/>
      <c r="F1118" s="132"/>
      <c r="G1118" s="41" t="e">
        <f>VLOOKUP(F1118,Pcode!A:B,2,FALSE)</f>
        <v>#N/A</v>
      </c>
      <c r="H1118" s="41"/>
      <c r="I1118" s="41" t="e">
        <f>VLOOKUP(H1118,Pcode!C:D,2,FALSE)</f>
        <v>#N/A</v>
      </c>
      <c r="J1118" s="41"/>
      <c r="K1118" s="160"/>
      <c r="L1118" s="160"/>
      <c r="M1118" s="46"/>
      <c r="N1118" s="136"/>
      <c r="O1118" s="136"/>
      <c r="P1118" s="136"/>
      <c r="Q1118" s="136"/>
      <c r="R1118" s="136"/>
      <c r="S1118" s="136"/>
      <c r="T1118" s="136"/>
      <c r="U1118" s="136"/>
      <c r="V1118" s="136"/>
      <c r="W1118" s="136"/>
      <c r="X1118" s="136"/>
      <c r="Y1118" s="136"/>
      <c r="Z1118" s="136"/>
      <c r="AA1118" s="231"/>
    </row>
    <row r="1119" spans="1:27" x14ac:dyDescent="0.2">
      <c r="A1119" s="39"/>
      <c r="B1119" s="39"/>
      <c r="C1119" s="43"/>
      <c r="D1119" s="43"/>
      <c r="E1119" s="43"/>
      <c r="F1119" s="132"/>
      <c r="G1119" s="41" t="e">
        <f>VLOOKUP(F1119,Pcode!A:B,2,FALSE)</f>
        <v>#N/A</v>
      </c>
      <c r="H1119" s="41"/>
      <c r="I1119" s="41" t="e">
        <f>VLOOKUP(H1119,Pcode!C:D,2,FALSE)</f>
        <v>#N/A</v>
      </c>
      <c r="J1119" s="41"/>
      <c r="K1119" s="160"/>
      <c r="L1119" s="160"/>
      <c r="M1119" s="46"/>
      <c r="N1119" s="136"/>
      <c r="O1119" s="136"/>
      <c r="P1119" s="136"/>
      <c r="Q1119" s="136"/>
      <c r="R1119" s="136"/>
      <c r="S1119" s="136"/>
      <c r="T1119" s="136"/>
      <c r="U1119" s="136"/>
      <c r="V1119" s="136"/>
      <c r="W1119" s="136"/>
      <c r="X1119" s="136"/>
      <c r="Y1119" s="136"/>
      <c r="Z1119" s="136"/>
      <c r="AA1119" s="231"/>
    </row>
    <row r="1120" spans="1:27" x14ac:dyDescent="0.2">
      <c r="A1120" s="39"/>
      <c r="B1120" s="39"/>
      <c r="C1120" s="43"/>
      <c r="D1120" s="43"/>
      <c r="E1120" s="43"/>
      <c r="F1120" s="132"/>
      <c r="G1120" s="41" t="e">
        <f>VLOOKUP(F1120,Pcode!A:B,2,FALSE)</f>
        <v>#N/A</v>
      </c>
      <c r="H1120" s="41"/>
      <c r="I1120" s="41" t="e">
        <f>VLOOKUP(H1120,Pcode!C:D,2,FALSE)</f>
        <v>#N/A</v>
      </c>
      <c r="J1120" s="41"/>
      <c r="K1120" s="160"/>
      <c r="L1120" s="160"/>
      <c r="M1120" s="46"/>
      <c r="N1120" s="136"/>
      <c r="O1120" s="136"/>
      <c r="P1120" s="136"/>
      <c r="Q1120" s="136"/>
      <c r="R1120" s="136"/>
      <c r="S1120" s="136"/>
      <c r="T1120" s="136"/>
      <c r="U1120" s="136"/>
      <c r="V1120" s="136"/>
      <c r="W1120" s="136"/>
      <c r="X1120" s="136"/>
      <c r="Y1120" s="136"/>
      <c r="Z1120" s="136"/>
      <c r="AA1120" s="231"/>
    </row>
    <row r="1121" spans="1:27" x14ac:dyDescent="0.2">
      <c r="A1121" s="39"/>
      <c r="B1121" s="39"/>
      <c r="C1121" s="43"/>
      <c r="D1121" s="43"/>
      <c r="E1121" s="43"/>
      <c r="F1121" s="132"/>
      <c r="G1121" s="41" t="e">
        <f>VLOOKUP(F1121,Pcode!A:B,2,FALSE)</f>
        <v>#N/A</v>
      </c>
      <c r="H1121" s="41"/>
      <c r="I1121" s="41" t="e">
        <f>VLOOKUP(H1121,Pcode!C:D,2,FALSE)</f>
        <v>#N/A</v>
      </c>
      <c r="J1121" s="41"/>
      <c r="K1121" s="160"/>
      <c r="L1121" s="160"/>
      <c r="M1121" s="46"/>
      <c r="N1121" s="136"/>
      <c r="O1121" s="136"/>
      <c r="P1121" s="136"/>
      <c r="Q1121" s="136"/>
      <c r="R1121" s="136"/>
      <c r="S1121" s="136"/>
      <c r="T1121" s="136"/>
      <c r="U1121" s="136"/>
      <c r="V1121" s="136"/>
      <c r="W1121" s="136"/>
      <c r="X1121" s="136"/>
      <c r="Y1121" s="136"/>
      <c r="Z1121" s="136"/>
      <c r="AA1121" s="231"/>
    </row>
    <row r="1122" spans="1:27" x14ac:dyDescent="0.2">
      <c r="A1122" s="39"/>
      <c r="B1122" s="39"/>
      <c r="C1122" s="43"/>
      <c r="D1122" s="43"/>
      <c r="E1122" s="43"/>
      <c r="F1122" s="132"/>
      <c r="G1122" s="41" t="e">
        <f>VLOOKUP(F1122,Pcode!A:B,2,FALSE)</f>
        <v>#N/A</v>
      </c>
      <c r="H1122" s="41"/>
      <c r="I1122" s="41" t="e">
        <f>VLOOKUP(H1122,Pcode!C:D,2,FALSE)</f>
        <v>#N/A</v>
      </c>
      <c r="J1122" s="41"/>
      <c r="K1122" s="160"/>
      <c r="L1122" s="160"/>
      <c r="M1122" s="46"/>
      <c r="N1122" s="136"/>
      <c r="O1122" s="136"/>
      <c r="P1122" s="136"/>
      <c r="Q1122" s="136"/>
      <c r="R1122" s="136"/>
      <c r="S1122" s="136"/>
      <c r="T1122" s="136"/>
      <c r="U1122" s="136"/>
      <c r="V1122" s="136"/>
      <c r="W1122" s="136"/>
      <c r="X1122" s="136"/>
      <c r="Y1122" s="136"/>
      <c r="Z1122" s="136"/>
      <c r="AA1122" s="231"/>
    </row>
    <row r="1123" spans="1:27" x14ac:dyDescent="0.2">
      <c r="A1123" s="39"/>
      <c r="B1123" s="39"/>
      <c r="C1123" s="43"/>
      <c r="D1123" s="43"/>
      <c r="E1123" s="43"/>
      <c r="F1123" s="132"/>
      <c r="G1123" s="41" t="e">
        <f>VLOOKUP(F1123,Pcode!A:B,2,FALSE)</f>
        <v>#N/A</v>
      </c>
      <c r="H1123" s="41"/>
      <c r="I1123" s="41" t="e">
        <f>VLOOKUP(H1123,Pcode!C:D,2,FALSE)</f>
        <v>#N/A</v>
      </c>
      <c r="J1123" s="41"/>
      <c r="K1123" s="160"/>
      <c r="L1123" s="160"/>
      <c r="M1123" s="46"/>
      <c r="N1123" s="136"/>
      <c r="O1123" s="136"/>
      <c r="P1123" s="136"/>
      <c r="Q1123" s="136"/>
      <c r="R1123" s="136"/>
      <c r="S1123" s="136"/>
      <c r="T1123" s="136"/>
      <c r="U1123" s="136"/>
      <c r="V1123" s="136"/>
      <c r="W1123" s="136"/>
      <c r="X1123" s="136"/>
      <c r="Y1123" s="136"/>
      <c r="Z1123" s="136"/>
      <c r="AA1123" s="231"/>
    </row>
    <row r="1124" spans="1:27" x14ac:dyDescent="0.2">
      <c r="A1124" s="39"/>
      <c r="B1124" s="39"/>
      <c r="C1124" s="43"/>
      <c r="D1124" s="43"/>
      <c r="E1124" s="43"/>
      <c r="F1124" s="132"/>
      <c r="G1124" s="41" t="e">
        <f>VLOOKUP(F1124,Pcode!A:B,2,FALSE)</f>
        <v>#N/A</v>
      </c>
      <c r="H1124" s="41"/>
      <c r="I1124" s="41" t="e">
        <f>VLOOKUP(H1124,Pcode!C:D,2,FALSE)</f>
        <v>#N/A</v>
      </c>
      <c r="J1124" s="41"/>
      <c r="K1124" s="160"/>
      <c r="L1124" s="160"/>
      <c r="M1124" s="46"/>
      <c r="N1124" s="136"/>
      <c r="O1124" s="136"/>
      <c r="P1124" s="136"/>
      <c r="Q1124" s="136"/>
      <c r="R1124" s="136"/>
      <c r="S1124" s="136"/>
      <c r="T1124" s="136"/>
      <c r="U1124" s="136"/>
      <c r="V1124" s="136"/>
      <c r="W1124" s="136"/>
      <c r="X1124" s="136"/>
      <c r="Y1124" s="136"/>
      <c r="Z1124" s="136"/>
      <c r="AA1124" s="231"/>
    </row>
    <row r="1125" spans="1:27" x14ac:dyDescent="0.2">
      <c r="A1125" s="39"/>
      <c r="B1125" s="39"/>
      <c r="C1125" s="43"/>
      <c r="D1125" s="43"/>
      <c r="E1125" s="43"/>
      <c r="F1125" s="132"/>
      <c r="G1125" s="41" t="e">
        <f>VLOOKUP(F1125,Pcode!A:B,2,FALSE)</f>
        <v>#N/A</v>
      </c>
      <c r="H1125" s="41"/>
      <c r="I1125" s="41" t="e">
        <f>VLOOKUP(H1125,Pcode!C:D,2,FALSE)</f>
        <v>#N/A</v>
      </c>
      <c r="J1125" s="41"/>
      <c r="K1125" s="160"/>
      <c r="L1125" s="160"/>
      <c r="M1125" s="46"/>
      <c r="N1125" s="136"/>
      <c r="O1125" s="136"/>
      <c r="P1125" s="136"/>
      <c r="Q1125" s="136"/>
      <c r="R1125" s="136"/>
      <c r="S1125" s="136"/>
      <c r="T1125" s="136"/>
      <c r="U1125" s="136"/>
      <c r="V1125" s="136"/>
      <c r="W1125" s="136"/>
      <c r="X1125" s="136"/>
      <c r="Y1125" s="136"/>
      <c r="Z1125" s="136"/>
      <c r="AA1125" s="231"/>
    </row>
    <row r="1126" spans="1:27" x14ac:dyDescent="0.2">
      <c r="A1126" s="39"/>
      <c r="B1126" s="39"/>
      <c r="C1126" s="43"/>
      <c r="D1126" s="43"/>
      <c r="E1126" s="43"/>
      <c r="F1126" s="132"/>
      <c r="G1126" s="41" t="e">
        <f>VLOOKUP(F1126,Pcode!A:B,2,FALSE)</f>
        <v>#N/A</v>
      </c>
      <c r="H1126" s="41"/>
      <c r="I1126" s="41" t="e">
        <f>VLOOKUP(H1126,Pcode!C:D,2,FALSE)</f>
        <v>#N/A</v>
      </c>
      <c r="J1126" s="41"/>
      <c r="K1126" s="160"/>
      <c r="L1126" s="160"/>
      <c r="M1126" s="46"/>
      <c r="N1126" s="136"/>
      <c r="O1126" s="136"/>
      <c r="P1126" s="136"/>
      <c r="Q1126" s="136"/>
      <c r="R1126" s="136"/>
      <c r="S1126" s="136"/>
      <c r="T1126" s="136"/>
      <c r="U1126" s="136"/>
      <c r="V1126" s="136"/>
      <c r="W1126" s="136"/>
      <c r="X1126" s="136"/>
      <c r="Y1126" s="136"/>
      <c r="Z1126" s="136"/>
      <c r="AA1126" s="231"/>
    </row>
    <row r="1127" spans="1:27" x14ac:dyDescent="0.2">
      <c r="A1127" s="39"/>
      <c r="B1127" s="39"/>
      <c r="C1127" s="43"/>
      <c r="D1127" s="43"/>
      <c r="E1127" s="43"/>
      <c r="F1127" s="132"/>
      <c r="G1127" s="41" t="e">
        <f>VLOOKUP(F1127,Pcode!A:B,2,FALSE)</f>
        <v>#N/A</v>
      </c>
      <c r="H1127" s="41"/>
      <c r="I1127" s="41" t="e">
        <f>VLOOKUP(H1127,Pcode!C:D,2,FALSE)</f>
        <v>#N/A</v>
      </c>
      <c r="J1127" s="41"/>
      <c r="K1127" s="160"/>
      <c r="L1127" s="160"/>
      <c r="M1127" s="46"/>
      <c r="N1127" s="136"/>
      <c r="O1127" s="136"/>
      <c r="P1127" s="136"/>
      <c r="Q1127" s="136"/>
      <c r="R1127" s="136"/>
      <c r="S1127" s="136"/>
      <c r="T1127" s="136"/>
      <c r="U1127" s="136"/>
      <c r="V1127" s="136"/>
      <c r="W1127" s="136"/>
      <c r="X1127" s="136"/>
      <c r="Y1127" s="136"/>
      <c r="Z1127" s="136"/>
      <c r="AA1127" s="231"/>
    </row>
    <row r="1128" spans="1:27" x14ac:dyDescent="0.2">
      <c r="A1128" s="39"/>
      <c r="B1128" s="39"/>
      <c r="C1128" s="43"/>
      <c r="D1128" s="43"/>
      <c r="E1128" s="43"/>
      <c r="F1128" s="132"/>
      <c r="G1128" s="41" t="e">
        <f>VLOOKUP(F1128,Pcode!A:B,2,FALSE)</f>
        <v>#N/A</v>
      </c>
      <c r="H1128" s="41"/>
      <c r="I1128" s="41" t="e">
        <f>VLOOKUP(H1128,Pcode!C:D,2,FALSE)</f>
        <v>#N/A</v>
      </c>
      <c r="J1128" s="41"/>
      <c r="K1128" s="160"/>
      <c r="L1128" s="160"/>
      <c r="M1128" s="46"/>
      <c r="N1128" s="136"/>
      <c r="O1128" s="136"/>
      <c r="P1128" s="136"/>
      <c r="Q1128" s="136"/>
      <c r="R1128" s="136"/>
      <c r="S1128" s="136"/>
      <c r="T1128" s="136"/>
      <c r="U1128" s="136"/>
      <c r="V1128" s="136"/>
      <c r="W1128" s="136"/>
      <c r="X1128" s="136"/>
      <c r="Y1128" s="136"/>
      <c r="Z1128" s="136"/>
      <c r="AA1128" s="231"/>
    </row>
    <row r="1129" spans="1:27" x14ac:dyDescent="0.2">
      <c r="A1129" s="39"/>
      <c r="B1129" s="39"/>
      <c r="C1129" s="43"/>
      <c r="D1129" s="43"/>
      <c r="E1129" s="43"/>
      <c r="F1129" s="132"/>
      <c r="G1129" s="41" t="e">
        <f>VLOOKUP(F1129,Pcode!A:B,2,FALSE)</f>
        <v>#N/A</v>
      </c>
      <c r="H1129" s="41"/>
      <c r="I1129" s="41" t="e">
        <f>VLOOKUP(H1129,Pcode!C:D,2,FALSE)</f>
        <v>#N/A</v>
      </c>
      <c r="J1129" s="41"/>
      <c r="K1129" s="160"/>
      <c r="L1129" s="160"/>
      <c r="M1129" s="46"/>
      <c r="N1129" s="136"/>
      <c r="O1129" s="136"/>
      <c r="P1129" s="136"/>
      <c r="Q1129" s="136"/>
      <c r="R1129" s="136"/>
      <c r="S1129" s="136"/>
      <c r="T1129" s="136"/>
      <c r="U1129" s="136"/>
      <c r="V1129" s="136"/>
      <c r="W1129" s="136"/>
      <c r="X1129" s="136"/>
      <c r="Y1129" s="136"/>
      <c r="Z1129" s="136"/>
      <c r="AA1129" s="231"/>
    </row>
    <row r="1130" spans="1:27" x14ac:dyDescent="0.2">
      <c r="A1130" s="39"/>
      <c r="B1130" s="39"/>
      <c r="C1130" s="43"/>
      <c r="D1130" s="43"/>
      <c r="E1130" s="43"/>
      <c r="F1130" s="132"/>
      <c r="G1130" s="41" t="e">
        <f>VLOOKUP(F1130,Pcode!A:B,2,FALSE)</f>
        <v>#N/A</v>
      </c>
      <c r="H1130" s="41"/>
      <c r="I1130" s="41" t="e">
        <f>VLOOKUP(H1130,Pcode!C:D,2,FALSE)</f>
        <v>#N/A</v>
      </c>
      <c r="J1130" s="41"/>
      <c r="K1130" s="160"/>
      <c r="L1130" s="160"/>
      <c r="M1130" s="46"/>
      <c r="N1130" s="136"/>
      <c r="O1130" s="136"/>
      <c r="P1130" s="136"/>
      <c r="Q1130" s="136"/>
      <c r="R1130" s="136"/>
      <c r="S1130" s="136"/>
      <c r="T1130" s="136"/>
      <c r="U1130" s="136"/>
      <c r="V1130" s="136"/>
      <c r="W1130" s="136"/>
      <c r="X1130" s="136"/>
      <c r="Y1130" s="136"/>
      <c r="Z1130" s="136"/>
      <c r="AA1130" s="231"/>
    </row>
    <row r="1131" spans="1:27" x14ac:dyDescent="0.2">
      <c r="A1131" s="39"/>
      <c r="B1131" s="39"/>
      <c r="C1131" s="43"/>
      <c r="D1131" s="43"/>
      <c r="E1131" s="43"/>
      <c r="F1131" s="132"/>
      <c r="G1131" s="41" t="e">
        <f>VLOOKUP(F1131,Pcode!A:B,2,FALSE)</f>
        <v>#N/A</v>
      </c>
      <c r="H1131" s="41"/>
      <c r="I1131" s="41" t="e">
        <f>VLOOKUP(H1131,Pcode!C:D,2,FALSE)</f>
        <v>#N/A</v>
      </c>
      <c r="J1131" s="41"/>
      <c r="K1131" s="160"/>
      <c r="L1131" s="160"/>
      <c r="M1131" s="46"/>
      <c r="N1131" s="136"/>
      <c r="O1131" s="136"/>
      <c r="P1131" s="136"/>
      <c r="Q1131" s="136"/>
      <c r="R1131" s="136"/>
      <c r="S1131" s="136"/>
      <c r="T1131" s="136"/>
      <c r="U1131" s="136"/>
      <c r="V1131" s="136"/>
      <c r="W1131" s="136"/>
      <c r="X1131" s="136"/>
      <c r="Y1131" s="136"/>
      <c r="Z1131" s="136"/>
      <c r="AA1131" s="231"/>
    </row>
    <row r="1132" spans="1:27" x14ac:dyDescent="0.2">
      <c r="A1132" s="39"/>
      <c r="B1132" s="39"/>
      <c r="C1132" s="43"/>
      <c r="D1132" s="43"/>
      <c r="E1132" s="43"/>
      <c r="F1132" s="132"/>
      <c r="G1132" s="41" t="e">
        <f>VLOOKUP(F1132,Pcode!A:B,2,FALSE)</f>
        <v>#N/A</v>
      </c>
      <c r="H1132" s="41"/>
      <c r="I1132" s="41" t="e">
        <f>VLOOKUP(H1132,Pcode!C:D,2,FALSE)</f>
        <v>#N/A</v>
      </c>
      <c r="J1132" s="41"/>
      <c r="K1132" s="160"/>
      <c r="L1132" s="160"/>
      <c r="M1132" s="46"/>
      <c r="N1132" s="136"/>
      <c r="O1132" s="136"/>
      <c r="P1132" s="136"/>
      <c r="Q1132" s="136"/>
      <c r="R1132" s="136"/>
      <c r="S1132" s="136"/>
      <c r="T1132" s="136"/>
      <c r="U1132" s="136"/>
      <c r="V1132" s="136"/>
      <c r="W1132" s="136"/>
      <c r="X1132" s="136"/>
      <c r="Y1132" s="136"/>
      <c r="Z1132" s="136"/>
      <c r="AA1132" s="231"/>
    </row>
    <row r="1133" spans="1:27" x14ac:dyDescent="0.2">
      <c r="A1133" s="39"/>
      <c r="B1133" s="39"/>
      <c r="C1133" s="43"/>
      <c r="D1133" s="43"/>
      <c r="E1133" s="43"/>
      <c r="F1133" s="132"/>
      <c r="G1133" s="41" t="e">
        <f>VLOOKUP(F1133,Pcode!A:B,2,FALSE)</f>
        <v>#N/A</v>
      </c>
      <c r="H1133" s="41"/>
      <c r="I1133" s="41" t="e">
        <f>VLOOKUP(H1133,Pcode!C:D,2,FALSE)</f>
        <v>#N/A</v>
      </c>
      <c r="J1133" s="41"/>
      <c r="K1133" s="160"/>
      <c r="L1133" s="160"/>
      <c r="M1133" s="46"/>
      <c r="N1133" s="136"/>
      <c r="O1133" s="136"/>
      <c r="P1133" s="136"/>
      <c r="Q1133" s="136"/>
      <c r="R1133" s="136"/>
      <c r="S1133" s="136"/>
      <c r="T1133" s="136"/>
      <c r="U1133" s="136"/>
      <c r="V1133" s="136"/>
      <c r="W1133" s="136"/>
      <c r="X1133" s="136"/>
      <c r="Y1133" s="136"/>
      <c r="Z1133" s="136"/>
      <c r="AA1133" s="231"/>
    </row>
    <row r="1134" spans="1:27" x14ac:dyDescent="0.2">
      <c r="A1134" s="39"/>
      <c r="B1134" s="39"/>
      <c r="C1134" s="43"/>
      <c r="D1134" s="43"/>
      <c r="E1134" s="43"/>
      <c r="F1134" s="132"/>
      <c r="G1134" s="41" t="e">
        <f>VLOOKUP(F1134,Pcode!A:B,2,FALSE)</f>
        <v>#N/A</v>
      </c>
      <c r="H1134" s="41"/>
      <c r="I1134" s="41" t="e">
        <f>VLOOKUP(H1134,Pcode!C:D,2,FALSE)</f>
        <v>#N/A</v>
      </c>
      <c r="J1134" s="41"/>
      <c r="K1134" s="160"/>
      <c r="L1134" s="160"/>
      <c r="M1134" s="46"/>
      <c r="N1134" s="136"/>
      <c r="O1134" s="136"/>
      <c r="P1134" s="136"/>
      <c r="Q1134" s="136"/>
      <c r="R1134" s="136"/>
      <c r="S1134" s="136"/>
      <c r="T1134" s="136"/>
      <c r="U1134" s="136"/>
      <c r="V1134" s="136"/>
      <c r="W1134" s="136"/>
      <c r="X1134" s="136"/>
      <c r="Y1134" s="136"/>
      <c r="Z1134" s="136"/>
      <c r="AA1134" s="231"/>
    </row>
    <row r="1135" spans="1:27" x14ac:dyDescent="0.2">
      <c r="A1135" s="39"/>
      <c r="B1135" s="39"/>
      <c r="C1135" s="43"/>
      <c r="D1135" s="43"/>
      <c r="E1135" s="43"/>
      <c r="F1135" s="132"/>
      <c r="G1135" s="41" t="e">
        <f>VLOOKUP(F1135,Pcode!A:B,2,FALSE)</f>
        <v>#N/A</v>
      </c>
      <c r="H1135" s="41"/>
      <c r="I1135" s="41" t="e">
        <f>VLOOKUP(H1135,Pcode!C:D,2,FALSE)</f>
        <v>#N/A</v>
      </c>
      <c r="J1135" s="41"/>
      <c r="K1135" s="160"/>
      <c r="L1135" s="160"/>
      <c r="M1135" s="46"/>
      <c r="N1135" s="136"/>
      <c r="O1135" s="136"/>
      <c r="P1135" s="136"/>
      <c r="Q1135" s="136"/>
      <c r="R1135" s="136"/>
      <c r="S1135" s="136"/>
      <c r="T1135" s="136"/>
      <c r="U1135" s="136"/>
      <c r="V1135" s="136"/>
      <c r="W1135" s="136"/>
      <c r="X1135" s="136"/>
      <c r="Y1135" s="136"/>
      <c r="Z1135" s="136"/>
      <c r="AA1135" s="231"/>
    </row>
    <row r="1136" spans="1:27" x14ac:dyDescent="0.2">
      <c r="A1136" s="39"/>
      <c r="B1136" s="39"/>
      <c r="C1136" s="43"/>
      <c r="D1136" s="43"/>
      <c r="E1136" s="43"/>
      <c r="F1136" s="132"/>
      <c r="G1136" s="41" t="e">
        <f>VLOOKUP(F1136,Pcode!A:B,2,FALSE)</f>
        <v>#N/A</v>
      </c>
      <c r="H1136" s="41"/>
      <c r="I1136" s="41" t="e">
        <f>VLOOKUP(H1136,Pcode!C:D,2,FALSE)</f>
        <v>#N/A</v>
      </c>
      <c r="J1136" s="41"/>
      <c r="K1136" s="160"/>
      <c r="L1136" s="160"/>
      <c r="M1136" s="46"/>
      <c r="N1136" s="136"/>
      <c r="O1136" s="136"/>
      <c r="P1136" s="136"/>
      <c r="Q1136" s="136"/>
      <c r="R1136" s="136"/>
      <c r="S1136" s="136"/>
      <c r="T1136" s="136"/>
      <c r="U1136" s="136"/>
      <c r="V1136" s="136"/>
      <c r="W1136" s="136"/>
      <c r="X1136" s="136"/>
      <c r="Y1136" s="136"/>
      <c r="Z1136" s="136"/>
      <c r="AA1136" s="231"/>
    </row>
    <row r="1137" spans="1:27" x14ac:dyDescent="0.2">
      <c r="A1137" s="39"/>
      <c r="B1137" s="39"/>
      <c r="C1137" s="43"/>
      <c r="D1137" s="43"/>
      <c r="E1137" s="43"/>
      <c r="F1137" s="132"/>
      <c r="G1137" s="41" t="e">
        <f>VLOOKUP(F1137,Pcode!A:B,2,FALSE)</f>
        <v>#N/A</v>
      </c>
      <c r="H1137" s="41"/>
      <c r="I1137" s="41" t="e">
        <f>VLOOKUP(H1137,Pcode!C:D,2,FALSE)</f>
        <v>#N/A</v>
      </c>
      <c r="J1137" s="41"/>
      <c r="K1137" s="160"/>
      <c r="L1137" s="160"/>
      <c r="M1137" s="46"/>
      <c r="N1137" s="136"/>
      <c r="O1137" s="136"/>
      <c r="P1137" s="136"/>
      <c r="Q1137" s="136"/>
      <c r="R1137" s="136"/>
      <c r="S1137" s="136"/>
      <c r="T1137" s="136"/>
      <c r="U1137" s="136"/>
      <c r="V1137" s="136"/>
      <c r="W1137" s="136"/>
      <c r="X1137" s="136"/>
      <c r="Y1137" s="136"/>
      <c r="Z1137" s="136"/>
      <c r="AA1137" s="231"/>
    </row>
    <row r="1138" spans="1:27" x14ac:dyDescent="0.2">
      <c r="A1138" s="39"/>
      <c r="B1138" s="39"/>
      <c r="C1138" s="43"/>
      <c r="D1138" s="43"/>
      <c r="E1138" s="43"/>
      <c r="F1138" s="132"/>
      <c r="G1138" s="41" t="e">
        <f>VLOOKUP(F1138,Pcode!A:B,2,FALSE)</f>
        <v>#N/A</v>
      </c>
      <c r="H1138" s="41"/>
      <c r="I1138" s="41" t="e">
        <f>VLOOKUP(H1138,Pcode!C:D,2,FALSE)</f>
        <v>#N/A</v>
      </c>
      <c r="J1138" s="41"/>
      <c r="K1138" s="160"/>
      <c r="L1138" s="160"/>
      <c r="M1138" s="46"/>
      <c r="N1138" s="136"/>
      <c r="O1138" s="136"/>
      <c r="P1138" s="136"/>
      <c r="Q1138" s="136"/>
      <c r="R1138" s="136"/>
      <c r="S1138" s="136"/>
      <c r="T1138" s="136"/>
      <c r="U1138" s="136"/>
      <c r="V1138" s="136"/>
      <c r="W1138" s="136"/>
      <c r="X1138" s="136"/>
      <c r="Y1138" s="136"/>
      <c r="Z1138" s="136"/>
      <c r="AA1138" s="231"/>
    </row>
    <row r="1139" spans="1:27" x14ac:dyDescent="0.2">
      <c r="A1139" s="39"/>
      <c r="B1139" s="39"/>
      <c r="C1139" s="43"/>
      <c r="D1139" s="43"/>
      <c r="E1139" s="43"/>
      <c r="F1139" s="132"/>
      <c r="G1139" s="41" t="e">
        <f>VLOOKUP(F1139,Pcode!A:B,2,FALSE)</f>
        <v>#N/A</v>
      </c>
      <c r="H1139" s="41"/>
      <c r="I1139" s="41" t="e">
        <f>VLOOKUP(H1139,Pcode!C:D,2,FALSE)</f>
        <v>#N/A</v>
      </c>
      <c r="J1139" s="41"/>
      <c r="K1139" s="160"/>
      <c r="L1139" s="160"/>
      <c r="M1139" s="46"/>
      <c r="N1139" s="136"/>
      <c r="O1139" s="136"/>
      <c r="P1139" s="136"/>
      <c r="Q1139" s="136"/>
      <c r="R1139" s="136"/>
      <c r="S1139" s="136"/>
      <c r="T1139" s="136"/>
      <c r="U1139" s="136"/>
      <c r="V1139" s="136"/>
      <c r="W1139" s="136"/>
      <c r="X1139" s="136"/>
      <c r="Y1139" s="136"/>
      <c r="Z1139" s="136"/>
      <c r="AA1139" s="231"/>
    </row>
    <row r="1140" spans="1:27" x14ac:dyDescent="0.2">
      <c r="A1140" s="39"/>
      <c r="B1140" s="39"/>
      <c r="C1140" s="43"/>
      <c r="D1140" s="43"/>
      <c r="E1140" s="43"/>
      <c r="F1140" s="132"/>
      <c r="G1140" s="41" t="e">
        <f>VLOOKUP(F1140,Pcode!A:B,2,FALSE)</f>
        <v>#N/A</v>
      </c>
      <c r="H1140" s="41"/>
      <c r="I1140" s="41" t="e">
        <f>VLOOKUP(H1140,Pcode!C:D,2,FALSE)</f>
        <v>#N/A</v>
      </c>
      <c r="J1140" s="41"/>
      <c r="K1140" s="160"/>
      <c r="L1140" s="160"/>
      <c r="M1140" s="46"/>
      <c r="N1140" s="136"/>
      <c r="O1140" s="136"/>
      <c r="P1140" s="136"/>
      <c r="Q1140" s="136"/>
      <c r="R1140" s="136"/>
      <c r="S1140" s="136"/>
      <c r="T1140" s="136"/>
      <c r="U1140" s="136"/>
      <c r="V1140" s="136"/>
      <c r="W1140" s="136"/>
      <c r="X1140" s="136"/>
      <c r="Y1140" s="136"/>
      <c r="Z1140" s="136"/>
      <c r="AA1140" s="231"/>
    </row>
    <row r="1141" spans="1:27" x14ac:dyDescent="0.2">
      <c r="A1141" s="39"/>
      <c r="B1141" s="39"/>
      <c r="C1141" s="43"/>
      <c r="D1141" s="43"/>
      <c r="E1141" s="43"/>
      <c r="F1141" s="132"/>
      <c r="G1141" s="41" t="e">
        <f>VLOOKUP(F1141,Pcode!A:B,2,FALSE)</f>
        <v>#N/A</v>
      </c>
      <c r="H1141" s="41"/>
      <c r="I1141" s="41" t="e">
        <f>VLOOKUP(H1141,Pcode!C:D,2,FALSE)</f>
        <v>#N/A</v>
      </c>
      <c r="J1141" s="41"/>
      <c r="K1141" s="160"/>
      <c r="L1141" s="160"/>
      <c r="M1141" s="46"/>
      <c r="N1141" s="136"/>
      <c r="O1141" s="136"/>
      <c r="P1141" s="136"/>
      <c r="Q1141" s="136"/>
      <c r="R1141" s="136"/>
      <c r="S1141" s="136"/>
      <c r="T1141" s="136"/>
      <c r="U1141" s="136"/>
      <c r="V1141" s="136"/>
      <c r="W1141" s="136"/>
      <c r="X1141" s="136"/>
      <c r="Y1141" s="136"/>
      <c r="Z1141" s="136"/>
      <c r="AA1141" s="231"/>
    </row>
    <row r="1142" spans="1:27" x14ac:dyDescent="0.2">
      <c r="A1142" s="39"/>
      <c r="B1142" s="39"/>
      <c r="C1142" s="43"/>
      <c r="D1142" s="43"/>
      <c r="E1142" s="43"/>
      <c r="F1142" s="132"/>
      <c r="G1142" s="41" t="e">
        <f>VLOOKUP(F1142,Pcode!A:B,2,FALSE)</f>
        <v>#N/A</v>
      </c>
      <c r="H1142" s="41"/>
      <c r="I1142" s="41" t="e">
        <f>VLOOKUP(H1142,Pcode!C:D,2,FALSE)</f>
        <v>#N/A</v>
      </c>
      <c r="J1142" s="41"/>
      <c r="K1142" s="160"/>
      <c r="L1142" s="160"/>
      <c r="M1142" s="46"/>
      <c r="N1142" s="136"/>
      <c r="O1142" s="136"/>
      <c r="P1142" s="136"/>
      <c r="Q1142" s="136"/>
      <c r="R1142" s="136"/>
      <c r="S1142" s="136"/>
      <c r="T1142" s="136"/>
      <c r="U1142" s="136"/>
      <c r="V1142" s="136"/>
      <c r="W1142" s="136"/>
      <c r="X1142" s="136"/>
      <c r="Y1142" s="136"/>
      <c r="Z1142" s="136"/>
      <c r="AA1142" s="231"/>
    </row>
    <row r="1143" spans="1:27" x14ac:dyDescent="0.2">
      <c r="A1143" s="39"/>
      <c r="B1143" s="39"/>
      <c r="C1143" s="43"/>
      <c r="D1143" s="43"/>
      <c r="E1143" s="43"/>
      <c r="F1143" s="132"/>
      <c r="G1143" s="41" t="e">
        <f>VLOOKUP(F1143,Pcode!A:B,2,FALSE)</f>
        <v>#N/A</v>
      </c>
      <c r="H1143" s="41"/>
      <c r="I1143" s="41" t="e">
        <f>VLOOKUP(H1143,Pcode!C:D,2,FALSE)</f>
        <v>#N/A</v>
      </c>
      <c r="J1143" s="41"/>
      <c r="K1143" s="160"/>
      <c r="L1143" s="160"/>
      <c r="M1143" s="46"/>
      <c r="N1143" s="136"/>
      <c r="O1143" s="136"/>
      <c r="P1143" s="136"/>
      <c r="Q1143" s="136"/>
      <c r="R1143" s="136"/>
      <c r="S1143" s="136"/>
      <c r="T1143" s="136"/>
      <c r="U1143" s="136"/>
      <c r="V1143" s="136"/>
      <c r="W1143" s="136"/>
      <c r="X1143" s="136"/>
      <c r="Y1143" s="136"/>
      <c r="Z1143" s="136"/>
      <c r="AA1143" s="231"/>
    </row>
    <row r="1144" spans="1:27" x14ac:dyDescent="0.2">
      <c r="A1144" s="39"/>
      <c r="B1144" s="39"/>
      <c r="C1144" s="43"/>
      <c r="D1144" s="43"/>
      <c r="E1144" s="43"/>
      <c r="F1144" s="132"/>
      <c r="G1144" s="41" t="e">
        <f>VLOOKUP(F1144,Pcode!A:B,2,FALSE)</f>
        <v>#N/A</v>
      </c>
      <c r="H1144" s="41"/>
      <c r="I1144" s="41" t="e">
        <f>VLOOKUP(H1144,Pcode!C:D,2,FALSE)</f>
        <v>#N/A</v>
      </c>
      <c r="J1144" s="41"/>
      <c r="K1144" s="160"/>
      <c r="L1144" s="160"/>
      <c r="M1144" s="46"/>
      <c r="N1144" s="136"/>
      <c r="O1144" s="136"/>
      <c r="P1144" s="136"/>
      <c r="Q1144" s="136"/>
      <c r="R1144" s="136"/>
      <c r="S1144" s="136"/>
      <c r="T1144" s="136"/>
      <c r="U1144" s="136"/>
      <c r="V1144" s="136"/>
      <c r="W1144" s="136"/>
      <c r="X1144" s="136"/>
      <c r="Y1144" s="136"/>
      <c r="Z1144" s="136"/>
      <c r="AA1144" s="231"/>
    </row>
    <row r="1145" spans="1:27" x14ac:dyDescent="0.2">
      <c r="A1145" s="39"/>
      <c r="B1145" s="39"/>
      <c r="C1145" s="43"/>
      <c r="D1145" s="43"/>
      <c r="E1145" s="43"/>
      <c r="F1145" s="132"/>
      <c r="G1145" s="41" t="e">
        <f>VLOOKUP(F1145,Pcode!A:B,2,FALSE)</f>
        <v>#N/A</v>
      </c>
      <c r="H1145" s="41"/>
      <c r="I1145" s="41" t="e">
        <f>VLOOKUP(H1145,Pcode!C:D,2,FALSE)</f>
        <v>#N/A</v>
      </c>
      <c r="J1145" s="41"/>
      <c r="K1145" s="160"/>
      <c r="L1145" s="160"/>
      <c r="M1145" s="46"/>
      <c r="N1145" s="136"/>
      <c r="O1145" s="136"/>
      <c r="P1145" s="136"/>
      <c r="Q1145" s="136"/>
      <c r="R1145" s="136"/>
      <c r="S1145" s="136"/>
      <c r="T1145" s="136"/>
      <c r="U1145" s="136"/>
      <c r="V1145" s="136"/>
      <c r="W1145" s="136"/>
      <c r="X1145" s="136"/>
      <c r="Y1145" s="136"/>
      <c r="Z1145" s="136"/>
      <c r="AA1145" s="231"/>
    </row>
    <row r="1146" spans="1:27" x14ac:dyDescent="0.2">
      <c r="A1146" s="39"/>
      <c r="B1146" s="39"/>
      <c r="C1146" s="43"/>
      <c r="D1146" s="43"/>
      <c r="E1146" s="43"/>
      <c r="F1146" s="132"/>
      <c r="G1146" s="41" t="e">
        <f>VLOOKUP(F1146,Pcode!A:B,2,FALSE)</f>
        <v>#N/A</v>
      </c>
      <c r="H1146" s="41"/>
      <c r="I1146" s="41" t="e">
        <f>VLOOKUP(H1146,Pcode!C:D,2,FALSE)</f>
        <v>#N/A</v>
      </c>
      <c r="J1146" s="41"/>
      <c r="K1146" s="160"/>
      <c r="L1146" s="160"/>
      <c r="M1146" s="46"/>
      <c r="N1146" s="136"/>
      <c r="O1146" s="136"/>
      <c r="P1146" s="136"/>
      <c r="Q1146" s="136"/>
      <c r="R1146" s="136"/>
      <c r="S1146" s="136"/>
      <c r="T1146" s="136"/>
      <c r="U1146" s="136"/>
      <c r="V1146" s="136"/>
      <c r="W1146" s="136"/>
      <c r="X1146" s="136"/>
      <c r="Y1146" s="136"/>
      <c r="Z1146" s="136"/>
      <c r="AA1146" s="231"/>
    </row>
    <row r="1147" spans="1:27" x14ac:dyDescent="0.2">
      <c r="A1147" s="39"/>
      <c r="B1147" s="39"/>
      <c r="C1147" s="43"/>
      <c r="D1147" s="43"/>
      <c r="E1147" s="43"/>
      <c r="F1147" s="132"/>
      <c r="G1147" s="41" t="e">
        <f>VLOOKUP(F1147,Pcode!A:B,2,FALSE)</f>
        <v>#N/A</v>
      </c>
      <c r="H1147" s="41"/>
      <c r="I1147" s="41" t="e">
        <f>VLOOKUP(H1147,Pcode!C:D,2,FALSE)</f>
        <v>#N/A</v>
      </c>
      <c r="J1147" s="41"/>
      <c r="K1147" s="160"/>
      <c r="L1147" s="160"/>
      <c r="M1147" s="46"/>
      <c r="N1147" s="136"/>
      <c r="O1147" s="136"/>
      <c r="P1147" s="136"/>
      <c r="Q1147" s="136"/>
      <c r="R1147" s="136"/>
      <c r="S1147" s="136"/>
      <c r="T1147" s="136"/>
      <c r="U1147" s="136"/>
      <c r="V1147" s="136"/>
      <c r="W1147" s="136"/>
      <c r="X1147" s="136"/>
      <c r="Y1147" s="136"/>
      <c r="Z1147" s="136"/>
      <c r="AA1147" s="231"/>
    </row>
    <row r="1148" spans="1:27" x14ac:dyDescent="0.2">
      <c r="A1148" s="39"/>
      <c r="B1148" s="39"/>
      <c r="C1148" s="43"/>
      <c r="D1148" s="43"/>
      <c r="E1148" s="43"/>
      <c r="F1148" s="132"/>
      <c r="G1148" s="41" t="e">
        <f>VLOOKUP(F1148,Pcode!A:B,2,FALSE)</f>
        <v>#N/A</v>
      </c>
      <c r="H1148" s="41"/>
      <c r="I1148" s="41" t="e">
        <f>VLOOKUP(H1148,Pcode!C:D,2,FALSE)</f>
        <v>#N/A</v>
      </c>
      <c r="J1148" s="41"/>
      <c r="K1148" s="160"/>
      <c r="L1148" s="160"/>
      <c r="M1148" s="46"/>
      <c r="N1148" s="136"/>
      <c r="O1148" s="136"/>
      <c r="P1148" s="136"/>
      <c r="Q1148" s="136"/>
      <c r="R1148" s="136"/>
      <c r="S1148" s="136"/>
      <c r="T1148" s="136"/>
      <c r="U1148" s="136"/>
      <c r="V1148" s="136"/>
      <c r="W1148" s="136"/>
      <c r="X1148" s="136"/>
      <c r="Y1148" s="136"/>
      <c r="Z1148" s="136"/>
      <c r="AA1148" s="231"/>
    </row>
    <row r="1149" spans="1:27" x14ac:dyDescent="0.2">
      <c r="A1149" s="39"/>
      <c r="B1149" s="39"/>
      <c r="C1149" s="43"/>
      <c r="D1149" s="43"/>
      <c r="E1149" s="43"/>
      <c r="F1149" s="132"/>
      <c r="G1149" s="41" t="e">
        <f>VLOOKUP(F1149,Pcode!A:B,2,FALSE)</f>
        <v>#N/A</v>
      </c>
      <c r="H1149" s="41"/>
      <c r="I1149" s="41" t="e">
        <f>VLOOKUP(H1149,Pcode!C:D,2,FALSE)</f>
        <v>#N/A</v>
      </c>
      <c r="J1149" s="41"/>
      <c r="K1149" s="160"/>
      <c r="L1149" s="160"/>
      <c r="M1149" s="46"/>
      <c r="N1149" s="136"/>
      <c r="O1149" s="136"/>
      <c r="P1149" s="136"/>
      <c r="Q1149" s="136"/>
      <c r="R1149" s="136"/>
      <c r="S1149" s="136"/>
      <c r="T1149" s="136"/>
      <c r="U1149" s="136"/>
      <c r="V1149" s="136"/>
      <c r="W1149" s="136"/>
      <c r="X1149" s="136"/>
      <c r="Y1149" s="136"/>
      <c r="Z1149" s="136"/>
      <c r="AA1149" s="231"/>
    </row>
    <row r="1150" spans="1:27" x14ac:dyDescent="0.2">
      <c r="A1150" s="39"/>
      <c r="B1150" s="39"/>
      <c r="C1150" s="43"/>
      <c r="D1150" s="43"/>
      <c r="E1150" s="43"/>
      <c r="F1150" s="132"/>
      <c r="G1150" s="41" t="e">
        <f>VLOOKUP(F1150,Pcode!A:B,2,FALSE)</f>
        <v>#N/A</v>
      </c>
      <c r="H1150" s="41"/>
      <c r="I1150" s="41" t="e">
        <f>VLOOKUP(H1150,Pcode!C:D,2,FALSE)</f>
        <v>#N/A</v>
      </c>
      <c r="J1150" s="41"/>
      <c r="K1150" s="160"/>
      <c r="L1150" s="160"/>
      <c r="M1150" s="46"/>
      <c r="N1150" s="136"/>
      <c r="O1150" s="136"/>
      <c r="P1150" s="136"/>
      <c r="Q1150" s="136"/>
      <c r="R1150" s="136"/>
      <c r="S1150" s="136"/>
      <c r="T1150" s="136"/>
      <c r="U1150" s="136"/>
      <c r="V1150" s="136"/>
      <c r="W1150" s="136"/>
      <c r="X1150" s="136"/>
      <c r="Y1150" s="136"/>
      <c r="Z1150" s="136"/>
      <c r="AA1150" s="231"/>
    </row>
    <row r="1151" spans="1:27" x14ac:dyDescent="0.2">
      <c r="A1151" s="39"/>
      <c r="B1151" s="39"/>
      <c r="C1151" s="43"/>
      <c r="D1151" s="43"/>
      <c r="E1151" s="43"/>
      <c r="F1151" s="132"/>
      <c r="G1151" s="41" t="e">
        <f>VLOOKUP(F1151,Pcode!A:B,2,FALSE)</f>
        <v>#N/A</v>
      </c>
      <c r="H1151" s="41"/>
      <c r="I1151" s="41" t="e">
        <f>VLOOKUP(H1151,Pcode!C:D,2,FALSE)</f>
        <v>#N/A</v>
      </c>
      <c r="J1151" s="41"/>
      <c r="K1151" s="160"/>
      <c r="L1151" s="160"/>
      <c r="M1151" s="46"/>
      <c r="N1151" s="136"/>
      <c r="O1151" s="136"/>
      <c r="P1151" s="136"/>
      <c r="Q1151" s="136"/>
      <c r="R1151" s="136"/>
      <c r="S1151" s="136"/>
      <c r="T1151" s="136"/>
      <c r="U1151" s="136"/>
      <c r="V1151" s="136"/>
      <c r="W1151" s="136"/>
      <c r="X1151" s="136"/>
      <c r="Y1151" s="136"/>
      <c r="Z1151" s="136"/>
      <c r="AA1151" s="231"/>
    </row>
    <row r="1152" spans="1:27" x14ac:dyDescent="0.2">
      <c r="A1152" s="39"/>
      <c r="B1152" s="39"/>
      <c r="C1152" s="43"/>
      <c r="D1152" s="43"/>
      <c r="E1152" s="43"/>
      <c r="F1152" s="132"/>
      <c r="G1152" s="41" t="e">
        <f>VLOOKUP(F1152,Pcode!A:B,2,FALSE)</f>
        <v>#N/A</v>
      </c>
      <c r="H1152" s="41"/>
      <c r="I1152" s="41" t="e">
        <f>VLOOKUP(H1152,Pcode!C:D,2,FALSE)</f>
        <v>#N/A</v>
      </c>
      <c r="J1152" s="41"/>
      <c r="K1152" s="160"/>
      <c r="L1152" s="160"/>
      <c r="M1152" s="46"/>
      <c r="N1152" s="136"/>
      <c r="O1152" s="136"/>
      <c r="P1152" s="136"/>
      <c r="Q1152" s="136"/>
      <c r="R1152" s="136"/>
      <c r="S1152" s="136"/>
      <c r="T1152" s="136"/>
      <c r="U1152" s="136"/>
      <c r="V1152" s="136"/>
      <c r="W1152" s="136"/>
      <c r="X1152" s="136"/>
      <c r="Y1152" s="136"/>
      <c r="Z1152" s="136"/>
      <c r="AA1152" s="231"/>
    </row>
    <row r="1153" spans="1:27" x14ac:dyDescent="0.2">
      <c r="A1153" s="39"/>
      <c r="B1153" s="39"/>
      <c r="C1153" s="43"/>
      <c r="D1153" s="43"/>
      <c r="E1153" s="43"/>
      <c r="F1153" s="132"/>
      <c r="G1153" s="41" t="e">
        <f>VLOOKUP(F1153,Pcode!A:B,2,FALSE)</f>
        <v>#N/A</v>
      </c>
      <c r="H1153" s="41"/>
      <c r="I1153" s="41" t="e">
        <f>VLOOKUP(H1153,Pcode!C:D,2,FALSE)</f>
        <v>#N/A</v>
      </c>
      <c r="J1153" s="41"/>
      <c r="K1153" s="160"/>
      <c r="L1153" s="160"/>
      <c r="M1153" s="46"/>
      <c r="N1153" s="136"/>
      <c r="O1153" s="136"/>
      <c r="P1153" s="136"/>
      <c r="Q1153" s="136"/>
      <c r="R1153" s="136"/>
      <c r="S1153" s="136"/>
      <c r="T1153" s="136"/>
      <c r="U1153" s="136"/>
      <c r="V1153" s="136"/>
      <c r="W1153" s="136"/>
      <c r="X1153" s="136"/>
      <c r="Y1153" s="136"/>
      <c r="Z1153" s="136"/>
      <c r="AA1153" s="231"/>
    </row>
    <row r="1154" spans="1:27" x14ac:dyDescent="0.2">
      <c r="A1154" s="39"/>
      <c r="B1154" s="39"/>
      <c r="C1154" s="43"/>
      <c r="D1154" s="43"/>
      <c r="E1154" s="43"/>
      <c r="F1154" s="132"/>
      <c r="G1154" s="41" t="e">
        <f>VLOOKUP(F1154,Pcode!A:B,2,FALSE)</f>
        <v>#N/A</v>
      </c>
      <c r="H1154" s="41"/>
      <c r="I1154" s="41" t="e">
        <f>VLOOKUP(H1154,Pcode!C:D,2,FALSE)</f>
        <v>#N/A</v>
      </c>
      <c r="J1154" s="41"/>
      <c r="K1154" s="160"/>
      <c r="L1154" s="160"/>
      <c r="M1154" s="46"/>
      <c r="N1154" s="136"/>
      <c r="O1154" s="136"/>
      <c r="P1154" s="136"/>
      <c r="Q1154" s="136"/>
      <c r="R1154" s="136"/>
      <c r="S1154" s="136"/>
      <c r="T1154" s="136"/>
      <c r="U1154" s="136"/>
      <c r="V1154" s="136"/>
      <c r="W1154" s="136"/>
      <c r="X1154" s="136"/>
      <c r="Y1154" s="136"/>
      <c r="Z1154" s="136"/>
      <c r="AA1154" s="231"/>
    </row>
    <row r="1155" spans="1:27" x14ac:dyDescent="0.2">
      <c r="A1155" s="39"/>
      <c r="B1155" s="39"/>
      <c r="C1155" s="43"/>
      <c r="D1155" s="43"/>
      <c r="E1155" s="43"/>
      <c r="F1155" s="132"/>
      <c r="G1155" s="41" t="e">
        <f>VLOOKUP(F1155,Pcode!A:B,2,FALSE)</f>
        <v>#N/A</v>
      </c>
      <c r="H1155" s="41"/>
      <c r="I1155" s="41" t="e">
        <f>VLOOKUP(H1155,Pcode!C:D,2,FALSE)</f>
        <v>#N/A</v>
      </c>
      <c r="J1155" s="41"/>
      <c r="K1155" s="160"/>
      <c r="L1155" s="160"/>
      <c r="M1155" s="46"/>
      <c r="N1155" s="136"/>
      <c r="O1155" s="136"/>
      <c r="P1155" s="136"/>
      <c r="Q1155" s="136"/>
      <c r="R1155" s="136"/>
      <c r="S1155" s="136"/>
      <c r="T1155" s="136"/>
      <c r="U1155" s="136"/>
      <c r="V1155" s="136"/>
      <c r="W1155" s="136"/>
      <c r="X1155" s="136"/>
      <c r="Y1155" s="136"/>
      <c r="Z1155" s="136"/>
      <c r="AA1155" s="231"/>
    </row>
    <row r="1156" spans="1:27" x14ac:dyDescent="0.2">
      <c r="A1156" s="39"/>
      <c r="B1156" s="39"/>
      <c r="C1156" s="43"/>
      <c r="D1156" s="43"/>
      <c r="E1156" s="43"/>
      <c r="F1156" s="132"/>
      <c r="G1156" s="41" t="e">
        <f>VLOOKUP(F1156,Pcode!A:B,2,FALSE)</f>
        <v>#N/A</v>
      </c>
      <c r="H1156" s="41"/>
      <c r="I1156" s="41" t="e">
        <f>VLOOKUP(H1156,Pcode!C:D,2,FALSE)</f>
        <v>#N/A</v>
      </c>
      <c r="J1156" s="41"/>
      <c r="K1156" s="160"/>
      <c r="L1156" s="160"/>
      <c r="M1156" s="46"/>
      <c r="N1156" s="136"/>
      <c r="O1156" s="136"/>
      <c r="P1156" s="136"/>
      <c r="Q1156" s="136"/>
      <c r="R1156" s="136"/>
      <c r="S1156" s="136"/>
      <c r="T1156" s="136"/>
      <c r="U1156" s="136"/>
      <c r="V1156" s="136"/>
      <c r="W1156" s="136"/>
      <c r="X1156" s="136"/>
      <c r="Y1156" s="136"/>
      <c r="Z1156" s="136"/>
      <c r="AA1156" s="231"/>
    </row>
    <row r="1157" spans="1:27" x14ac:dyDescent="0.2">
      <c r="A1157" s="39"/>
      <c r="B1157" s="39"/>
      <c r="C1157" s="43"/>
      <c r="D1157" s="43"/>
      <c r="E1157" s="43"/>
      <c r="F1157" s="132"/>
      <c r="G1157" s="41" t="e">
        <f>VLOOKUP(F1157,Pcode!A:B,2,FALSE)</f>
        <v>#N/A</v>
      </c>
      <c r="H1157" s="41"/>
      <c r="I1157" s="41" t="e">
        <f>VLOOKUP(H1157,Pcode!C:D,2,FALSE)</f>
        <v>#N/A</v>
      </c>
      <c r="J1157" s="41"/>
      <c r="K1157" s="160"/>
      <c r="L1157" s="160"/>
      <c r="M1157" s="46"/>
      <c r="N1157" s="136"/>
      <c r="O1157" s="136"/>
      <c r="P1157" s="136"/>
      <c r="Q1157" s="136"/>
      <c r="R1157" s="136"/>
      <c r="S1157" s="136"/>
      <c r="T1157" s="136"/>
      <c r="U1157" s="136"/>
      <c r="V1157" s="136"/>
      <c r="W1157" s="136"/>
      <c r="X1157" s="136"/>
      <c r="Y1157" s="136"/>
      <c r="Z1157" s="136"/>
      <c r="AA1157" s="231"/>
    </row>
    <row r="1158" spans="1:27" x14ac:dyDescent="0.2">
      <c r="A1158" s="39"/>
      <c r="B1158" s="39"/>
      <c r="C1158" s="43"/>
      <c r="D1158" s="43"/>
      <c r="E1158" s="43"/>
      <c r="F1158" s="132"/>
      <c r="G1158" s="41" t="e">
        <f>VLOOKUP(F1158,Pcode!A:B,2,FALSE)</f>
        <v>#N/A</v>
      </c>
      <c r="H1158" s="41"/>
      <c r="I1158" s="41" t="e">
        <f>VLOOKUP(H1158,Pcode!C:D,2,FALSE)</f>
        <v>#N/A</v>
      </c>
      <c r="J1158" s="41"/>
      <c r="K1158" s="160"/>
      <c r="L1158" s="160"/>
      <c r="M1158" s="46"/>
      <c r="N1158" s="136"/>
      <c r="O1158" s="136"/>
      <c r="P1158" s="136"/>
      <c r="Q1158" s="136"/>
      <c r="R1158" s="136"/>
      <c r="S1158" s="136"/>
      <c r="T1158" s="136"/>
      <c r="U1158" s="136"/>
      <c r="V1158" s="136"/>
      <c r="W1158" s="136"/>
      <c r="X1158" s="136"/>
      <c r="Y1158" s="136"/>
      <c r="Z1158" s="136"/>
      <c r="AA1158" s="231"/>
    </row>
    <row r="1159" spans="1:27" x14ac:dyDescent="0.2">
      <c r="A1159" s="39"/>
      <c r="B1159" s="39"/>
      <c r="C1159" s="43"/>
      <c r="D1159" s="43"/>
      <c r="E1159" s="43"/>
      <c r="F1159" s="132"/>
      <c r="G1159" s="41" t="e">
        <f>VLOOKUP(F1159,Pcode!A:B,2,FALSE)</f>
        <v>#N/A</v>
      </c>
      <c r="H1159" s="41"/>
      <c r="I1159" s="41" t="e">
        <f>VLOOKUP(H1159,Pcode!C:D,2,FALSE)</f>
        <v>#N/A</v>
      </c>
      <c r="J1159" s="41"/>
      <c r="K1159" s="160"/>
      <c r="L1159" s="160"/>
      <c r="M1159" s="46"/>
      <c r="N1159" s="136"/>
      <c r="O1159" s="136"/>
      <c r="P1159" s="136"/>
      <c r="Q1159" s="136"/>
      <c r="R1159" s="136"/>
      <c r="S1159" s="136"/>
      <c r="T1159" s="136"/>
      <c r="U1159" s="136"/>
      <c r="V1159" s="136"/>
      <c r="W1159" s="136"/>
      <c r="X1159" s="136"/>
      <c r="Y1159" s="136"/>
      <c r="Z1159" s="136"/>
      <c r="AA1159" s="231"/>
    </row>
    <row r="1160" spans="1:27" x14ac:dyDescent="0.2">
      <c r="A1160" s="39"/>
      <c r="B1160" s="39"/>
      <c r="C1160" s="43"/>
      <c r="D1160" s="43"/>
      <c r="E1160" s="43"/>
      <c r="F1160" s="132"/>
      <c r="G1160" s="41" t="e">
        <f>VLOOKUP(F1160,Pcode!A:B,2,FALSE)</f>
        <v>#N/A</v>
      </c>
      <c r="H1160" s="41"/>
      <c r="I1160" s="41" t="e">
        <f>VLOOKUP(H1160,Pcode!C:D,2,FALSE)</f>
        <v>#N/A</v>
      </c>
      <c r="J1160" s="41"/>
      <c r="K1160" s="160"/>
      <c r="L1160" s="160"/>
      <c r="M1160" s="46"/>
      <c r="N1160" s="136"/>
      <c r="O1160" s="136"/>
      <c r="P1160" s="136"/>
      <c r="Q1160" s="136"/>
      <c r="R1160" s="136"/>
      <c r="S1160" s="136"/>
      <c r="T1160" s="136"/>
      <c r="U1160" s="136"/>
      <c r="V1160" s="136"/>
      <c r="W1160" s="136"/>
      <c r="X1160" s="136"/>
      <c r="Y1160" s="136"/>
      <c r="Z1160" s="136"/>
      <c r="AA1160" s="231"/>
    </row>
    <row r="1161" spans="1:27" x14ac:dyDescent="0.2">
      <c r="A1161" s="39"/>
      <c r="B1161" s="39"/>
      <c r="C1161" s="43"/>
      <c r="D1161" s="43"/>
      <c r="E1161" s="43"/>
      <c r="F1161" s="132"/>
      <c r="G1161" s="41" t="e">
        <f>VLOOKUP(F1161,Pcode!A:B,2,FALSE)</f>
        <v>#N/A</v>
      </c>
      <c r="H1161" s="41"/>
      <c r="I1161" s="41" t="e">
        <f>VLOOKUP(H1161,Pcode!C:D,2,FALSE)</f>
        <v>#N/A</v>
      </c>
      <c r="J1161" s="41"/>
      <c r="K1161" s="160"/>
      <c r="L1161" s="160"/>
      <c r="M1161" s="46"/>
      <c r="N1161" s="136"/>
      <c r="O1161" s="136"/>
      <c r="P1161" s="136"/>
      <c r="Q1161" s="136"/>
      <c r="R1161" s="136"/>
      <c r="S1161" s="136"/>
      <c r="T1161" s="136"/>
      <c r="U1161" s="136"/>
      <c r="V1161" s="136"/>
      <c r="W1161" s="136"/>
      <c r="X1161" s="136"/>
      <c r="Y1161" s="136"/>
      <c r="Z1161" s="136"/>
      <c r="AA1161" s="231"/>
    </row>
    <row r="1162" spans="1:27" x14ac:dyDescent="0.2">
      <c r="A1162" s="39"/>
      <c r="B1162" s="39"/>
      <c r="C1162" s="43"/>
      <c r="D1162" s="43"/>
      <c r="E1162" s="43"/>
      <c r="F1162" s="132"/>
      <c r="G1162" s="41" t="e">
        <f>VLOOKUP(F1162,Pcode!A:B,2,FALSE)</f>
        <v>#N/A</v>
      </c>
      <c r="H1162" s="41"/>
      <c r="I1162" s="41" t="e">
        <f>VLOOKUP(H1162,Pcode!C:D,2,FALSE)</f>
        <v>#N/A</v>
      </c>
      <c r="J1162" s="41"/>
      <c r="K1162" s="160"/>
      <c r="L1162" s="160"/>
      <c r="M1162" s="46"/>
      <c r="N1162" s="136"/>
      <c r="O1162" s="136"/>
      <c r="P1162" s="136"/>
      <c r="Q1162" s="136"/>
      <c r="R1162" s="136"/>
      <c r="S1162" s="136"/>
      <c r="T1162" s="136"/>
      <c r="U1162" s="136"/>
      <c r="V1162" s="136"/>
      <c r="W1162" s="136"/>
      <c r="X1162" s="136"/>
      <c r="Y1162" s="136"/>
      <c r="Z1162" s="136"/>
      <c r="AA1162" s="231"/>
    </row>
    <row r="1163" spans="1:27" x14ac:dyDescent="0.2">
      <c r="A1163" s="39"/>
      <c r="B1163" s="39"/>
      <c r="C1163" s="43"/>
      <c r="D1163" s="43"/>
      <c r="E1163" s="43"/>
      <c r="F1163" s="132"/>
      <c r="G1163" s="41" t="e">
        <f>VLOOKUP(F1163,Pcode!A:B,2,FALSE)</f>
        <v>#N/A</v>
      </c>
      <c r="H1163" s="41"/>
      <c r="I1163" s="41" t="e">
        <f>VLOOKUP(H1163,Pcode!C:D,2,FALSE)</f>
        <v>#N/A</v>
      </c>
      <c r="J1163" s="41"/>
      <c r="K1163" s="160"/>
      <c r="L1163" s="160"/>
      <c r="M1163" s="46"/>
      <c r="N1163" s="136"/>
      <c r="O1163" s="136"/>
      <c r="P1163" s="136"/>
      <c r="Q1163" s="136"/>
      <c r="R1163" s="136"/>
      <c r="S1163" s="136"/>
      <c r="T1163" s="136"/>
      <c r="U1163" s="136"/>
      <c r="V1163" s="136"/>
      <c r="W1163" s="136"/>
      <c r="X1163" s="136"/>
      <c r="Y1163" s="136"/>
      <c r="Z1163" s="136"/>
      <c r="AA1163" s="231"/>
    </row>
    <row r="1164" spans="1:27" x14ac:dyDescent="0.2">
      <c r="A1164" s="39"/>
      <c r="B1164" s="39"/>
      <c r="C1164" s="43"/>
      <c r="D1164" s="43"/>
      <c r="E1164" s="43"/>
      <c r="F1164" s="132"/>
      <c r="G1164" s="41" t="e">
        <f>VLOOKUP(F1164,Pcode!A:B,2,FALSE)</f>
        <v>#N/A</v>
      </c>
      <c r="H1164" s="41"/>
      <c r="I1164" s="41" t="e">
        <f>VLOOKUP(H1164,Pcode!C:D,2,FALSE)</f>
        <v>#N/A</v>
      </c>
      <c r="J1164" s="41"/>
      <c r="K1164" s="160"/>
      <c r="L1164" s="160"/>
      <c r="M1164" s="46"/>
      <c r="N1164" s="136"/>
      <c r="O1164" s="136"/>
      <c r="P1164" s="136"/>
      <c r="Q1164" s="136"/>
      <c r="R1164" s="136"/>
      <c r="S1164" s="136"/>
      <c r="T1164" s="136"/>
      <c r="U1164" s="136"/>
      <c r="V1164" s="136"/>
      <c r="W1164" s="136"/>
      <c r="X1164" s="136"/>
      <c r="Y1164" s="136"/>
      <c r="Z1164" s="136"/>
      <c r="AA1164" s="231"/>
    </row>
    <row r="1165" spans="1:27" x14ac:dyDescent="0.2">
      <c r="A1165" s="39"/>
      <c r="B1165" s="39"/>
      <c r="C1165" s="43"/>
      <c r="D1165" s="43"/>
      <c r="E1165" s="43"/>
      <c r="F1165" s="132"/>
      <c r="G1165" s="41" t="e">
        <f>VLOOKUP(F1165,Pcode!A:B,2,FALSE)</f>
        <v>#N/A</v>
      </c>
      <c r="H1165" s="41"/>
      <c r="I1165" s="41" t="e">
        <f>VLOOKUP(H1165,Pcode!C:D,2,FALSE)</f>
        <v>#N/A</v>
      </c>
      <c r="J1165" s="41"/>
      <c r="K1165" s="160"/>
      <c r="L1165" s="160"/>
      <c r="M1165" s="46"/>
      <c r="N1165" s="136"/>
      <c r="O1165" s="136"/>
      <c r="P1165" s="136"/>
      <c r="Q1165" s="136"/>
      <c r="R1165" s="136"/>
      <c r="S1165" s="136"/>
      <c r="T1165" s="136"/>
      <c r="U1165" s="136"/>
      <c r="V1165" s="136"/>
      <c r="W1165" s="136"/>
      <c r="X1165" s="136"/>
      <c r="Y1165" s="136"/>
      <c r="Z1165" s="136"/>
      <c r="AA1165" s="231"/>
    </row>
    <row r="1166" spans="1:27" x14ac:dyDescent="0.2">
      <c r="A1166" s="39"/>
      <c r="B1166" s="39"/>
      <c r="C1166" s="43"/>
      <c r="D1166" s="43"/>
      <c r="E1166" s="43"/>
      <c r="F1166" s="132"/>
      <c r="G1166" s="41" t="e">
        <f>VLOOKUP(F1166,Pcode!A:B,2,FALSE)</f>
        <v>#N/A</v>
      </c>
      <c r="H1166" s="41"/>
      <c r="I1166" s="41" t="e">
        <f>VLOOKUP(H1166,Pcode!C:D,2,FALSE)</f>
        <v>#N/A</v>
      </c>
      <c r="J1166" s="41"/>
      <c r="K1166" s="160"/>
      <c r="L1166" s="160"/>
      <c r="M1166" s="46"/>
      <c r="N1166" s="136"/>
      <c r="O1166" s="136"/>
      <c r="P1166" s="136"/>
      <c r="Q1166" s="136"/>
      <c r="R1166" s="136"/>
      <c r="S1166" s="136"/>
      <c r="T1166" s="136"/>
      <c r="U1166" s="136"/>
      <c r="V1166" s="136"/>
      <c r="W1166" s="136"/>
      <c r="X1166" s="136"/>
      <c r="Y1166" s="136"/>
      <c r="Z1166" s="136"/>
      <c r="AA1166" s="231"/>
    </row>
    <row r="1167" spans="1:27" x14ac:dyDescent="0.2">
      <c r="A1167" s="39"/>
      <c r="B1167" s="39"/>
      <c r="C1167" s="43"/>
      <c r="D1167" s="43"/>
      <c r="E1167" s="43"/>
      <c r="F1167" s="132"/>
      <c r="G1167" s="41" t="e">
        <f>VLOOKUP(F1167,Pcode!A:B,2,FALSE)</f>
        <v>#N/A</v>
      </c>
      <c r="H1167" s="41"/>
      <c r="I1167" s="41" t="e">
        <f>VLOOKUP(H1167,Pcode!C:D,2,FALSE)</f>
        <v>#N/A</v>
      </c>
      <c r="J1167" s="41"/>
      <c r="K1167" s="160"/>
      <c r="L1167" s="160"/>
      <c r="M1167" s="46"/>
      <c r="N1167" s="136"/>
      <c r="O1167" s="136"/>
      <c r="P1167" s="136"/>
      <c r="Q1167" s="136"/>
      <c r="R1167" s="136"/>
      <c r="S1167" s="136"/>
      <c r="T1167" s="136"/>
      <c r="U1167" s="136"/>
      <c r="V1167" s="136"/>
      <c r="W1167" s="136"/>
      <c r="X1167" s="136"/>
      <c r="Y1167" s="136"/>
      <c r="Z1167" s="136"/>
      <c r="AA1167" s="231"/>
    </row>
    <row r="1168" spans="1:27" x14ac:dyDescent="0.2">
      <c r="A1168" s="39"/>
      <c r="B1168" s="39"/>
      <c r="C1168" s="43"/>
      <c r="D1168" s="43"/>
      <c r="E1168" s="43"/>
      <c r="F1168" s="132"/>
      <c r="G1168" s="41" t="e">
        <f>VLOOKUP(F1168,Pcode!A:B,2,FALSE)</f>
        <v>#N/A</v>
      </c>
      <c r="H1168" s="41"/>
      <c r="I1168" s="41" t="e">
        <f>VLOOKUP(H1168,Pcode!C:D,2,FALSE)</f>
        <v>#N/A</v>
      </c>
      <c r="J1168" s="41"/>
      <c r="K1168" s="160"/>
      <c r="L1168" s="160"/>
      <c r="M1168" s="46"/>
      <c r="N1168" s="136"/>
      <c r="O1168" s="136"/>
      <c r="P1168" s="136"/>
      <c r="Q1168" s="136"/>
      <c r="R1168" s="136"/>
      <c r="S1168" s="136"/>
      <c r="T1168" s="136"/>
      <c r="U1168" s="136"/>
      <c r="V1168" s="136"/>
      <c r="W1168" s="136"/>
      <c r="X1168" s="136"/>
      <c r="Y1168" s="136"/>
      <c r="Z1168" s="136"/>
      <c r="AA1168" s="231"/>
    </row>
    <row r="1169" spans="1:27" x14ac:dyDescent="0.2">
      <c r="A1169" s="39"/>
      <c r="B1169" s="39"/>
      <c r="C1169" s="43"/>
      <c r="D1169" s="43"/>
      <c r="E1169" s="43"/>
      <c r="F1169" s="132"/>
      <c r="G1169" s="41" t="e">
        <f>VLOOKUP(F1169,Pcode!A:B,2,FALSE)</f>
        <v>#N/A</v>
      </c>
      <c r="H1169" s="41"/>
      <c r="I1169" s="41" t="e">
        <f>VLOOKUP(H1169,Pcode!C:D,2,FALSE)</f>
        <v>#N/A</v>
      </c>
      <c r="J1169" s="41"/>
      <c r="K1169" s="160"/>
      <c r="L1169" s="160"/>
      <c r="M1169" s="46"/>
      <c r="N1169" s="136"/>
      <c r="O1169" s="136"/>
      <c r="P1169" s="136"/>
      <c r="Q1169" s="136"/>
      <c r="R1169" s="136"/>
      <c r="S1169" s="136"/>
      <c r="T1169" s="136"/>
      <c r="U1169" s="136"/>
      <c r="V1169" s="136"/>
      <c r="W1169" s="136"/>
      <c r="X1169" s="136"/>
      <c r="Y1169" s="136"/>
      <c r="Z1169" s="136"/>
      <c r="AA1169" s="231"/>
    </row>
    <row r="1170" spans="1:27" x14ac:dyDescent="0.2">
      <c r="A1170" s="39"/>
      <c r="B1170" s="39"/>
      <c r="C1170" s="43"/>
      <c r="D1170" s="43"/>
      <c r="E1170" s="43"/>
      <c r="F1170" s="132"/>
      <c r="G1170" s="41" t="e">
        <f>VLOOKUP(F1170,Pcode!A:B,2,FALSE)</f>
        <v>#N/A</v>
      </c>
      <c r="H1170" s="41"/>
      <c r="I1170" s="41" t="e">
        <f>VLOOKUP(H1170,Pcode!C:D,2,FALSE)</f>
        <v>#N/A</v>
      </c>
      <c r="J1170" s="41"/>
      <c r="K1170" s="160"/>
      <c r="L1170" s="160"/>
      <c r="M1170" s="46"/>
      <c r="N1170" s="136"/>
      <c r="O1170" s="136"/>
      <c r="P1170" s="136"/>
      <c r="Q1170" s="136"/>
      <c r="R1170" s="136"/>
      <c r="S1170" s="136"/>
      <c r="T1170" s="136"/>
      <c r="U1170" s="136"/>
      <c r="V1170" s="136"/>
      <c r="W1170" s="136"/>
      <c r="X1170" s="136"/>
      <c r="Y1170" s="136"/>
      <c r="Z1170" s="136"/>
      <c r="AA1170" s="231"/>
    </row>
    <row r="1171" spans="1:27" x14ac:dyDescent="0.2">
      <c r="A1171" s="39"/>
      <c r="B1171" s="39"/>
      <c r="C1171" s="43"/>
      <c r="D1171" s="43"/>
      <c r="E1171" s="43"/>
      <c r="F1171" s="132"/>
      <c r="G1171" s="41" t="e">
        <f>VLOOKUP(F1171,Pcode!A:B,2,FALSE)</f>
        <v>#N/A</v>
      </c>
      <c r="H1171" s="41"/>
      <c r="I1171" s="41" t="e">
        <f>VLOOKUP(H1171,Pcode!C:D,2,FALSE)</f>
        <v>#N/A</v>
      </c>
      <c r="J1171" s="41"/>
      <c r="K1171" s="160"/>
      <c r="L1171" s="160"/>
      <c r="M1171" s="46"/>
      <c r="N1171" s="136"/>
      <c r="O1171" s="136"/>
      <c r="P1171" s="136"/>
      <c r="Q1171" s="136"/>
      <c r="R1171" s="136"/>
      <c r="S1171" s="136"/>
      <c r="T1171" s="136"/>
      <c r="U1171" s="136"/>
      <c r="V1171" s="136"/>
      <c r="W1171" s="136"/>
      <c r="X1171" s="136"/>
      <c r="Y1171" s="136"/>
      <c r="Z1171" s="136"/>
      <c r="AA1171" s="231"/>
    </row>
    <row r="1172" spans="1:27" x14ac:dyDescent="0.2">
      <c r="A1172" s="39"/>
      <c r="B1172" s="39"/>
      <c r="C1172" s="43"/>
      <c r="D1172" s="43"/>
      <c r="E1172" s="43"/>
      <c r="F1172" s="132"/>
      <c r="G1172" s="41" t="e">
        <f>VLOOKUP(F1172,Pcode!A:B,2,FALSE)</f>
        <v>#N/A</v>
      </c>
      <c r="H1172" s="41"/>
      <c r="I1172" s="41" t="e">
        <f>VLOOKUP(H1172,Pcode!C:D,2,FALSE)</f>
        <v>#N/A</v>
      </c>
      <c r="J1172" s="41"/>
      <c r="K1172" s="160"/>
      <c r="L1172" s="160"/>
      <c r="M1172" s="46"/>
      <c r="N1172" s="136"/>
      <c r="O1172" s="136"/>
      <c r="P1172" s="136"/>
      <c r="Q1172" s="136"/>
      <c r="R1172" s="136"/>
      <c r="S1172" s="136"/>
      <c r="T1172" s="136"/>
      <c r="U1172" s="136"/>
      <c r="V1172" s="136"/>
      <c r="W1172" s="136"/>
      <c r="X1172" s="136"/>
      <c r="Y1172" s="136"/>
      <c r="Z1172" s="136"/>
      <c r="AA1172" s="231"/>
    </row>
    <row r="1173" spans="1:27" x14ac:dyDescent="0.2">
      <c r="A1173" s="39"/>
      <c r="B1173" s="39"/>
      <c r="C1173" s="43"/>
      <c r="D1173" s="43"/>
      <c r="E1173" s="43"/>
      <c r="F1173" s="132"/>
      <c r="G1173" s="41" t="e">
        <f>VLOOKUP(F1173,Pcode!A:B,2,FALSE)</f>
        <v>#N/A</v>
      </c>
      <c r="H1173" s="41"/>
      <c r="I1173" s="41" t="e">
        <f>VLOOKUP(H1173,Pcode!C:D,2,FALSE)</f>
        <v>#N/A</v>
      </c>
      <c r="J1173" s="41"/>
      <c r="K1173" s="160"/>
      <c r="L1173" s="160"/>
      <c r="M1173" s="46"/>
      <c r="N1173" s="136"/>
      <c r="O1173" s="136"/>
      <c r="P1173" s="136"/>
      <c r="Q1173" s="136"/>
      <c r="R1173" s="136"/>
      <c r="S1173" s="136"/>
      <c r="T1173" s="136"/>
      <c r="U1173" s="136"/>
      <c r="V1173" s="136"/>
      <c r="W1173" s="136"/>
      <c r="X1173" s="136"/>
      <c r="Y1173" s="136"/>
      <c r="Z1173" s="136"/>
      <c r="AA1173" s="231"/>
    </row>
    <row r="1174" spans="1:27" x14ac:dyDescent="0.2">
      <c r="A1174" s="39"/>
      <c r="B1174" s="39"/>
      <c r="C1174" s="43"/>
      <c r="D1174" s="43"/>
      <c r="E1174" s="43"/>
      <c r="F1174" s="132"/>
      <c r="G1174" s="41" t="e">
        <f>VLOOKUP(F1174,Pcode!A:B,2,FALSE)</f>
        <v>#N/A</v>
      </c>
      <c r="H1174" s="41"/>
      <c r="I1174" s="41" t="e">
        <f>VLOOKUP(H1174,Pcode!C:D,2,FALSE)</f>
        <v>#N/A</v>
      </c>
      <c r="J1174" s="41"/>
      <c r="K1174" s="160"/>
      <c r="L1174" s="160"/>
      <c r="M1174" s="46"/>
      <c r="N1174" s="136"/>
      <c r="O1174" s="136"/>
      <c r="P1174" s="136"/>
      <c r="Q1174" s="136"/>
      <c r="R1174" s="136"/>
      <c r="S1174" s="136"/>
      <c r="T1174" s="136"/>
      <c r="U1174" s="136"/>
      <c r="V1174" s="136"/>
      <c r="W1174" s="136"/>
      <c r="X1174" s="136"/>
      <c r="Y1174" s="136"/>
      <c r="Z1174" s="136"/>
      <c r="AA1174" s="231"/>
    </row>
    <row r="1175" spans="1:27" x14ac:dyDescent="0.2">
      <c r="A1175" s="39"/>
      <c r="B1175" s="39"/>
      <c r="C1175" s="43"/>
      <c r="D1175" s="43"/>
      <c r="E1175" s="43"/>
      <c r="F1175" s="132"/>
      <c r="G1175" s="41" t="e">
        <f>VLOOKUP(F1175,Pcode!A:B,2,FALSE)</f>
        <v>#N/A</v>
      </c>
      <c r="H1175" s="41"/>
      <c r="I1175" s="41" t="e">
        <f>VLOOKUP(H1175,Pcode!C:D,2,FALSE)</f>
        <v>#N/A</v>
      </c>
      <c r="J1175" s="41"/>
      <c r="K1175" s="160"/>
      <c r="L1175" s="160"/>
      <c r="M1175" s="46"/>
      <c r="N1175" s="136"/>
      <c r="O1175" s="136"/>
      <c r="P1175" s="136"/>
      <c r="Q1175" s="136"/>
      <c r="R1175" s="136"/>
      <c r="S1175" s="136"/>
      <c r="T1175" s="136"/>
      <c r="U1175" s="136"/>
      <c r="V1175" s="136"/>
      <c r="W1175" s="136"/>
      <c r="X1175" s="136"/>
      <c r="Y1175" s="136"/>
      <c r="Z1175" s="136"/>
      <c r="AA1175" s="231"/>
    </row>
    <row r="1176" spans="1:27" x14ac:dyDescent="0.2">
      <c r="A1176" s="39"/>
      <c r="B1176" s="39"/>
      <c r="C1176" s="43"/>
      <c r="D1176" s="43"/>
      <c r="E1176" s="43"/>
      <c r="F1176" s="132"/>
      <c r="G1176" s="41" t="e">
        <f>VLOOKUP(F1176,Pcode!A:B,2,FALSE)</f>
        <v>#N/A</v>
      </c>
      <c r="H1176" s="41"/>
      <c r="I1176" s="41" t="e">
        <f>VLOOKUP(H1176,Pcode!C:D,2,FALSE)</f>
        <v>#N/A</v>
      </c>
      <c r="J1176" s="41"/>
      <c r="K1176" s="160"/>
      <c r="L1176" s="160"/>
      <c r="M1176" s="46"/>
      <c r="N1176" s="136"/>
      <c r="O1176" s="136"/>
      <c r="P1176" s="136"/>
      <c r="Q1176" s="136"/>
      <c r="R1176" s="136"/>
      <c r="S1176" s="136"/>
      <c r="T1176" s="136"/>
      <c r="U1176" s="136"/>
      <c r="V1176" s="136"/>
      <c r="W1176" s="136"/>
      <c r="X1176" s="136"/>
      <c r="Y1176" s="136"/>
      <c r="Z1176" s="136"/>
      <c r="AA1176" s="231"/>
    </row>
    <row r="1177" spans="1:27" x14ac:dyDescent="0.2">
      <c r="A1177" s="39"/>
      <c r="B1177" s="39"/>
      <c r="C1177" s="43"/>
      <c r="D1177" s="43"/>
      <c r="E1177" s="43"/>
      <c r="F1177" s="132"/>
      <c r="G1177" s="41" t="e">
        <f>VLOOKUP(F1177,Pcode!A:B,2,FALSE)</f>
        <v>#N/A</v>
      </c>
      <c r="H1177" s="41"/>
      <c r="I1177" s="41" t="e">
        <f>VLOOKUP(H1177,Pcode!C:D,2,FALSE)</f>
        <v>#N/A</v>
      </c>
      <c r="J1177" s="41"/>
      <c r="K1177" s="160"/>
      <c r="L1177" s="160"/>
      <c r="M1177" s="46"/>
      <c r="N1177" s="136"/>
      <c r="O1177" s="136"/>
      <c r="P1177" s="136"/>
      <c r="Q1177" s="136"/>
      <c r="R1177" s="136"/>
      <c r="S1177" s="136"/>
      <c r="T1177" s="136"/>
      <c r="U1177" s="136"/>
      <c r="V1177" s="136"/>
      <c r="W1177" s="136"/>
      <c r="X1177" s="136"/>
      <c r="Y1177" s="136"/>
      <c r="Z1177" s="136"/>
      <c r="AA1177" s="231"/>
    </row>
    <row r="1178" spans="1:27" x14ac:dyDescent="0.2">
      <c r="A1178" s="39"/>
      <c r="B1178" s="39"/>
      <c r="C1178" s="43"/>
      <c r="D1178" s="43"/>
      <c r="E1178" s="43"/>
      <c r="F1178" s="132"/>
      <c r="G1178" s="41" t="e">
        <f>VLOOKUP(F1178,Pcode!A:B,2,FALSE)</f>
        <v>#N/A</v>
      </c>
      <c r="H1178" s="41"/>
      <c r="I1178" s="41" t="e">
        <f>VLOOKUP(H1178,Pcode!C:D,2,FALSE)</f>
        <v>#N/A</v>
      </c>
      <c r="J1178" s="41"/>
      <c r="K1178" s="160"/>
      <c r="L1178" s="160"/>
      <c r="M1178" s="46"/>
      <c r="N1178" s="136"/>
      <c r="O1178" s="136"/>
      <c r="P1178" s="136"/>
      <c r="Q1178" s="136"/>
      <c r="R1178" s="136"/>
      <c r="S1178" s="136"/>
      <c r="T1178" s="136"/>
      <c r="U1178" s="136"/>
      <c r="V1178" s="136"/>
      <c r="W1178" s="136"/>
      <c r="X1178" s="136"/>
      <c r="Y1178" s="136"/>
      <c r="Z1178" s="136"/>
      <c r="AA1178" s="231"/>
    </row>
    <row r="1179" spans="1:27" x14ac:dyDescent="0.2">
      <c r="A1179" s="39"/>
      <c r="B1179" s="39"/>
      <c r="C1179" s="43"/>
      <c r="D1179" s="43"/>
      <c r="E1179" s="43"/>
      <c r="F1179" s="132"/>
      <c r="G1179" s="41" t="e">
        <f>VLOOKUP(F1179,Pcode!A:B,2,FALSE)</f>
        <v>#N/A</v>
      </c>
      <c r="H1179" s="41"/>
      <c r="I1179" s="41" t="e">
        <f>VLOOKUP(H1179,Pcode!C:D,2,FALSE)</f>
        <v>#N/A</v>
      </c>
      <c r="J1179" s="41"/>
      <c r="K1179" s="160"/>
      <c r="L1179" s="160"/>
      <c r="M1179" s="46"/>
      <c r="N1179" s="136"/>
      <c r="O1179" s="136"/>
      <c r="P1179" s="136"/>
      <c r="Q1179" s="136"/>
      <c r="R1179" s="136"/>
      <c r="S1179" s="136"/>
      <c r="T1179" s="136"/>
      <c r="U1179" s="136"/>
      <c r="V1179" s="136"/>
      <c r="W1179" s="136"/>
      <c r="X1179" s="136"/>
      <c r="Y1179" s="136"/>
      <c r="Z1179" s="136"/>
      <c r="AA1179" s="231"/>
    </row>
    <row r="1180" spans="1:27" x14ac:dyDescent="0.2">
      <c r="A1180" s="39"/>
      <c r="B1180" s="39"/>
      <c r="C1180" s="43"/>
      <c r="D1180" s="43"/>
      <c r="E1180" s="43"/>
      <c r="F1180" s="132"/>
      <c r="G1180" s="41" t="e">
        <f>VLOOKUP(F1180,Pcode!A:B,2,FALSE)</f>
        <v>#N/A</v>
      </c>
      <c r="H1180" s="41"/>
      <c r="I1180" s="41" t="e">
        <f>VLOOKUP(H1180,Pcode!C:D,2,FALSE)</f>
        <v>#N/A</v>
      </c>
      <c r="J1180" s="41"/>
      <c r="K1180" s="160"/>
      <c r="L1180" s="160"/>
      <c r="M1180" s="46"/>
      <c r="N1180" s="136"/>
      <c r="O1180" s="136"/>
      <c r="P1180" s="136"/>
      <c r="Q1180" s="136"/>
      <c r="R1180" s="136"/>
      <c r="S1180" s="136"/>
      <c r="T1180" s="136"/>
      <c r="U1180" s="136"/>
      <c r="V1180" s="136"/>
      <c r="W1180" s="136"/>
      <c r="X1180" s="136"/>
      <c r="Y1180" s="136"/>
      <c r="Z1180" s="136"/>
      <c r="AA1180" s="231"/>
    </row>
    <row r="1181" spans="1:27" x14ac:dyDescent="0.2">
      <c r="A1181" s="39"/>
      <c r="B1181" s="39"/>
      <c r="C1181" s="43"/>
      <c r="D1181" s="43"/>
      <c r="E1181" s="43"/>
      <c r="F1181" s="132"/>
      <c r="G1181" s="41" t="e">
        <f>VLOOKUP(F1181,Pcode!A:B,2,FALSE)</f>
        <v>#N/A</v>
      </c>
      <c r="H1181" s="41"/>
      <c r="I1181" s="41" t="e">
        <f>VLOOKUP(H1181,Pcode!C:D,2,FALSE)</f>
        <v>#N/A</v>
      </c>
      <c r="J1181" s="41"/>
      <c r="K1181" s="160"/>
      <c r="L1181" s="160"/>
      <c r="M1181" s="46"/>
      <c r="N1181" s="136"/>
      <c r="O1181" s="136"/>
      <c r="P1181" s="136"/>
      <c r="Q1181" s="136"/>
      <c r="R1181" s="136"/>
      <c r="S1181" s="136"/>
      <c r="T1181" s="136"/>
      <c r="U1181" s="136"/>
      <c r="V1181" s="136"/>
      <c r="W1181" s="136"/>
      <c r="X1181" s="136"/>
      <c r="Y1181" s="136"/>
      <c r="Z1181" s="136"/>
      <c r="AA1181" s="231"/>
    </row>
    <row r="1182" spans="1:27" x14ac:dyDescent="0.2">
      <c r="A1182" s="39"/>
      <c r="B1182" s="39"/>
      <c r="C1182" s="43"/>
      <c r="D1182" s="43"/>
      <c r="E1182" s="43"/>
      <c r="F1182" s="132"/>
      <c r="G1182" s="41" t="e">
        <f>VLOOKUP(F1182,Pcode!A:B,2,FALSE)</f>
        <v>#N/A</v>
      </c>
      <c r="H1182" s="41"/>
      <c r="I1182" s="41" t="e">
        <f>VLOOKUP(H1182,Pcode!C:D,2,FALSE)</f>
        <v>#N/A</v>
      </c>
      <c r="J1182" s="41"/>
      <c r="K1182" s="160"/>
      <c r="L1182" s="160"/>
      <c r="M1182" s="46"/>
      <c r="N1182" s="136"/>
      <c r="O1182" s="136"/>
      <c r="P1182" s="136"/>
      <c r="Q1182" s="136"/>
      <c r="R1182" s="136"/>
      <c r="S1182" s="136"/>
      <c r="T1182" s="136"/>
      <c r="U1182" s="136"/>
      <c r="V1182" s="136"/>
      <c r="W1182" s="136"/>
      <c r="X1182" s="136"/>
      <c r="Y1182" s="136"/>
      <c r="Z1182" s="136"/>
      <c r="AA1182" s="231"/>
    </row>
    <row r="1183" spans="1:27" x14ac:dyDescent="0.2">
      <c r="A1183" s="39"/>
      <c r="B1183" s="39"/>
      <c r="C1183" s="43"/>
      <c r="D1183" s="43"/>
      <c r="E1183" s="43"/>
      <c r="F1183" s="132"/>
      <c r="G1183" s="41" t="e">
        <f>VLOOKUP(F1183,Pcode!A:B,2,FALSE)</f>
        <v>#N/A</v>
      </c>
      <c r="H1183" s="41"/>
      <c r="I1183" s="41" t="e">
        <f>VLOOKUP(H1183,Pcode!C:D,2,FALSE)</f>
        <v>#N/A</v>
      </c>
      <c r="J1183" s="41"/>
      <c r="K1183" s="160"/>
      <c r="L1183" s="160"/>
      <c r="M1183" s="46"/>
      <c r="N1183" s="136"/>
      <c r="O1183" s="136"/>
      <c r="P1183" s="136"/>
      <c r="Q1183" s="136"/>
      <c r="R1183" s="136"/>
      <c r="S1183" s="136"/>
      <c r="T1183" s="136"/>
      <c r="U1183" s="136"/>
      <c r="V1183" s="136"/>
      <c r="W1183" s="136"/>
      <c r="X1183" s="136"/>
      <c r="Y1183" s="136"/>
      <c r="Z1183" s="136"/>
      <c r="AA1183" s="231"/>
    </row>
    <row r="1184" spans="1:27" x14ac:dyDescent="0.2">
      <c r="A1184" s="39"/>
      <c r="B1184" s="39"/>
      <c r="C1184" s="43"/>
      <c r="D1184" s="43"/>
      <c r="E1184" s="43"/>
      <c r="F1184" s="132"/>
      <c r="G1184" s="41" t="e">
        <f>VLOOKUP(F1184,Pcode!A:B,2,FALSE)</f>
        <v>#N/A</v>
      </c>
      <c r="H1184" s="41"/>
      <c r="I1184" s="41" t="e">
        <f>VLOOKUP(H1184,Pcode!C:D,2,FALSE)</f>
        <v>#N/A</v>
      </c>
      <c r="J1184" s="41"/>
      <c r="K1184" s="160"/>
      <c r="L1184" s="160"/>
      <c r="M1184" s="46"/>
      <c r="N1184" s="136"/>
      <c r="O1184" s="136"/>
      <c r="P1184" s="136"/>
      <c r="Q1184" s="136"/>
      <c r="R1184" s="136"/>
      <c r="S1184" s="136"/>
      <c r="T1184" s="136"/>
      <c r="U1184" s="136"/>
      <c r="V1184" s="136"/>
      <c r="W1184" s="136"/>
      <c r="X1184" s="136"/>
      <c r="Y1184" s="136"/>
      <c r="Z1184" s="136"/>
      <c r="AA1184" s="231"/>
    </row>
    <row r="1185" spans="1:27" x14ac:dyDescent="0.2">
      <c r="A1185" s="39"/>
      <c r="B1185" s="39"/>
      <c r="C1185" s="43"/>
      <c r="D1185" s="43"/>
      <c r="E1185" s="43"/>
      <c r="F1185" s="132"/>
      <c r="G1185" s="41" t="e">
        <f>VLOOKUP(F1185,Pcode!A:B,2,FALSE)</f>
        <v>#N/A</v>
      </c>
      <c r="H1185" s="41"/>
      <c r="I1185" s="41" t="e">
        <f>VLOOKUP(H1185,Pcode!C:D,2,FALSE)</f>
        <v>#N/A</v>
      </c>
      <c r="J1185" s="41"/>
      <c r="K1185" s="160"/>
      <c r="L1185" s="160"/>
      <c r="M1185" s="46"/>
      <c r="N1185" s="136"/>
      <c r="O1185" s="136"/>
      <c r="P1185" s="136"/>
      <c r="Q1185" s="136"/>
      <c r="R1185" s="136"/>
      <c r="S1185" s="136"/>
      <c r="T1185" s="136"/>
      <c r="U1185" s="136"/>
      <c r="V1185" s="136"/>
      <c r="W1185" s="136"/>
      <c r="X1185" s="136"/>
      <c r="Y1185" s="136"/>
      <c r="Z1185" s="136"/>
      <c r="AA1185" s="231"/>
    </row>
    <row r="1186" spans="1:27" x14ac:dyDescent="0.2">
      <c r="A1186" s="39"/>
      <c r="B1186" s="39"/>
      <c r="C1186" s="43"/>
      <c r="D1186" s="43"/>
      <c r="E1186" s="43"/>
      <c r="F1186" s="132"/>
      <c r="G1186" s="41" t="e">
        <f>VLOOKUP(F1186,Pcode!A:B,2,FALSE)</f>
        <v>#N/A</v>
      </c>
      <c r="H1186" s="41"/>
      <c r="I1186" s="41" t="e">
        <f>VLOOKUP(H1186,Pcode!C:D,2,FALSE)</f>
        <v>#N/A</v>
      </c>
      <c r="J1186" s="41"/>
      <c r="K1186" s="160"/>
      <c r="L1186" s="160"/>
      <c r="M1186" s="46"/>
      <c r="N1186" s="136"/>
      <c r="O1186" s="136"/>
      <c r="P1186" s="136"/>
      <c r="Q1186" s="136"/>
      <c r="R1186" s="136"/>
      <c r="S1186" s="136"/>
      <c r="T1186" s="136"/>
      <c r="U1186" s="136"/>
      <c r="V1186" s="136"/>
      <c r="W1186" s="136"/>
      <c r="X1186" s="136"/>
      <c r="Y1186" s="136"/>
      <c r="Z1186" s="136"/>
      <c r="AA1186" s="231"/>
    </row>
    <row r="1187" spans="1:27" x14ac:dyDescent="0.2">
      <c r="A1187" s="39"/>
      <c r="B1187" s="39"/>
      <c r="C1187" s="43"/>
      <c r="D1187" s="43"/>
      <c r="E1187" s="43"/>
      <c r="F1187" s="132"/>
      <c r="G1187" s="41" t="e">
        <f>VLOOKUP(F1187,Pcode!A:B,2,FALSE)</f>
        <v>#N/A</v>
      </c>
      <c r="H1187" s="41"/>
      <c r="I1187" s="41" t="e">
        <f>VLOOKUP(H1187,Pcode!C:D,2,FALSE)</f>
        <v>#N/A</v>
      </c>
      <c r="J1187" s="41"/>
      <c r="K1187" s="160"/>
      <c r="L1187" s="160"/>
      <c r="M1187" s="46"/>
      <c r="N1187" s="136"/>
      <c r="O1187" s="136"/>
      <c r="P1187" s="136"/>
      <c r="Q1187" s="136"/>
      <c r="R1187" s="136"/>
      <c r="S1187" s="136"/>
      <c r="T1187" s="136"/>
      <c r="U1187" s="136"/>
      <c r="V1187" s="136"/>
      <c r="W1187" s="136"/>
      <c r="X1187" s="136"/>
      <c r="Y1187" s="136"/>
      <c r="Z1187" s="136"/>
      <c r="AA1187" s="231"/>
    </row>
    <row r="1188" spans="1:27" x14ac:dyDescent="0.2">
      <c r="A1188" s="39"/>
      <c r="B1188" s="39"/>
      <c r="C1188" s="43"/>
      <c r="D1188" s="43"/>
      <c r="E1188" s="43"/>
      <c r="F1188" s="132"/>
      <c r="G1188" s="41" t="e">
        <f>VLOOKUP(F1188,Pcode!A:B,2,FALSE)</f>
        <v>#N/A</v>
      </c>
      <c r="H1188" s="41"/>
      <c r="I1188" s="41" t="e">
        <f>VLOOKUP(H1188,Pcode!C:D,2,FALSE)</f>
        <v>#N/A</v>
      </c>
      <c r="J1188" s="41"/>
      <c r="K1188" s="160"/>
      <c r="L1188" s="160"/>
      <c r="M1188" s="46"/>
      <c r="N1188" s="136"/>
      <c r="O1188" s="136"/>
      <c r="P1188" s="136"/>
      <c r="Q1188" s="136"/>
      <c r="R1188" s="136"/>
      <c r="S1188" s="136"/>
      <c r="T1188" s="136"/>
      <c r="U1188" s="136"/>
      <c r="V1188" s="136"/>
      <c r="W1188" s="136"/>
      <c r="X1188" s="136"/>
      <c r="Y1188" s="136"/>
      <c r="Z1188" s="136"/>
      <c r="AA1188" s="231"/>
    </row>
    <row r="1189" spans="1:27" x14ac:dyDescent="0.2">
      <c r="A1189" s="39"/>
      <c r="B1189" s="39"/>
      <c r="C1189" s="43"/>
      <c r="D1189" s="43"/>
      <c r="E1189" s="43"/>
      <c r="F1189" s="132"/>
      <c r="G1189" s="41" t="e">
        <f>VLOOKUP(F1189,Pcode!A:B,2,FALSE)</f>
        <v>#N/A</v>
      </c>
      <c r="H1189" s="41"/>
      <c r="I1189" s="41" t="e">
        <f>VLOOKUP(H1189,Pcode!C:D,2,FALSE)</f>
        <v>#N/A</v>
      </c>
      <c r="J1189" s="41"/>
      <c r="K1189" s="160"/>
      <c r="L1189" s="160"/>
      <c r="M1189" s="46"/>
      <c r="N1189" s="136"/>
      <c r="O1189" s="136"/>
      <c r="P1189" s="136"/>
      <c r="Q1189" s="136"/>
      <c r="R1189" s="136"/>
      <c r="S1189" s="136"/>
      <c r="T1189" s="136"/>
      <c r="U1189" s="136"/>
      <c r="V1189" s="136"/>
      <c r="W1189" s="136"/>
      <c r="X1189" s="136"/>
      <c r="Y1189" s="136"/>
      <c r="Z1189" s="136"/>
      <c r="AA1189" s="231"/>
    </row>
    <row r="1190" spans="1:27" x14ac:dyDescent="0.2">
      <c r="A1190" s="39"/>
      <c r="B1190" s="39"/>
      <c r="C1190" s="43"/>
      <c r="D1190" s="43"/>
      <c r="E1190" s="43"/>
      <c r="F1190" s="132"/>
      <c r="G1190" s="41" t="e">
        <f>VLOOKUP(F1190,Pcode!A:B,2,FALSE)</f>
        <v>#N/A</v>
      </c>
      <c r="H1190" s="41"/>
      <c r="I1190" s="41" t="e">
        <f>VLOOKUP(H1190,Pcode!C:D,2,FALSE)</f>
        <v>#N/A</v>
      </c>
      <c r="J1190" s="41"/>
      <c r="K1190" s="160"/>
      <c r="L1190" s="160"/>
      <c r="M1190" s="46"/>
      <c r="N1190" s="136"/>
      <c r="O1190" s="136"/>
      <c r="P1190" s="136"/>
      <c r="Q1190" s="136"/>
      <c r="R1190" s="136"/>
      <c r="S1190" s="136"/>
      <c r="T1190" s="136"/>
      <c r="U1190" s="136"/>
      <c r="V1190" s="136"/>
      <c r="W1190" s="136"/>
      <c r="X1190" s="136"/>
      <c r="Y1190" s="136"/>
      <c r="Z1190" s="136"/>
      <c r="AA1190" s="231"/>
    </row>
    <row r="1191" spans="1:27" x14ac:dyDescent="0.2">
      <c r="A1191" s="39"/>
      <c r="B1191" s="39"/>
      <c r="C1191" s="43"/>
      <c r="D1191" s="43"/>
      <c r="E1191" s="43"/>
      <c r="F1191" s="132"/>
      <c r="G1191" s="41" t="e">
        <f>VLOOKUP(F1191,Pcode!A:B,2,FALSE)</f>
        <v>#N/A</v>
      </c>
      <c r="H1191" s="41"/>
      <c r="I1191" s="41" t="e">
        <f>VLOOKUP(H1191,Pcode!C:D,2,FALSE)</f>
        <v>#N/A</v>
      </c>
      <c r="J1191" s="41"/>
      <c r="K1191" s="160"/>
      <c r="L1191" s="160"/>
      <c r="M1191" s="46"/>
      <c r="N1191" s="136"/>
      <c r="O1191" s="136"/>
      <c r="P1191" s="136"/>
      <c r="Q1191" s="136"/>
      <c r="R1191" s="136"/>
      <c r="S1191" s="136"/>
      <c r="T1191" s="136"/>
      <c r="U1191" s="136"/>
      <c r="V1191" s="136"/>
      <c r="W1191" s="136"/>
      <c r="X1191" s="136"/>
      <c r="Y1191" s="136"/>
      <c r="Z1191" s="136"/>
      <c r="AA1191" s="231"/>
    </row>
    <row r="1192" spans="1:27" x14ac:dyDescent="0.2">
      <c r="A1192" s="39"/>
      <c r="B1192" s="39"/>
      <c r="C1192" s="43"/>
      <c r="D1192" s="43"/>
      <c r="E1192" s="43"/>
      <c r="F1192" s="132"/>
      <c r="G1192" s="41" t="e">
        <f>VLOOKUP(F1192,Pcode!A:B,2,FALSE)</f>
        <v>#N/A</v>
      </c>
      <c r="H1192" s="41"/>
      <c r="I1192" s="41" t="e">
        <f>VLOOKUP(H1192,Pcode!C:D,2,FALSE)</f>
        <v>#N/A</v>
      </c>
      <c r="J1192" s="41"/>
      <c r="K1192" s="160"/>
      <c r="L1192" s="160"/>
      <c r="M1192" s="46"/>
      <c r="N1192" s="136"/>
      <c r="O1192" s="136"/>
      <c r="P1192" s="136"/>
      <c r="Q1192" s="136"/>
      <c r="R1192" s="136"/>
      <c r="S1192" s="136"/>
      <c r="T1192" s="136"/>
      <c r="U1192" s="136"/>
      <c r="V1192" s="136"/>
      <c r="W1192" s="136"/>
      <c r="X1192" s="136"/>
      <c r="Y1192" s="136"/>
      <c r="Z1192" s="136"/>
      <c r="AA1192" s="231"/>
    </row>
    <row r="1193" spans="1:27" x14ac:dyDescent="0.2">
      <c r="A1193" s="39"/>
      <c r="B1193" s="39"/>
      <c r="C1193" s="43"/>
      <c r="D1193" s="43"/>
      <c r="E1193" s="43"/>
      <c r="F1193" s="132"/>
      <c r="G1193" s="41" t="e">
        <f>VLOOKUP(F1193,Pcode!A:B,2,FALSE)</f>
        <v>#N/A</v>
      </c>
      <c r="H1193" s="41"/>
      <c r="I1193" s="41" t="e">
        <f>VLOOKUP(H1193,Pcode!C:D,2,FALSE)</f>
        <v>#N/A</v>
      </c>
      <c r="J1193" s="41"/>
      <c r="K1193" s="160"/>
      <c r="L1193" s="160"/>
      <c r="M1193" s="46"/>
      <c r="N1193" s="136"/>
      <c r="O1193" s="136"/>
      <c r="P1193" s="136"/>
      <c r="Q1193" s="136"/>
      <c r="R1193" s="136"/>
      <c r="S1193" s="136"/>
      <c r="T1193" s="136"/>
      <c r="U1193" s="136"/>
      <c r="V1193" s="136"/>
      <c r="W1193" s="136"/>
      <c r="X1193" s="136"/>
      <c r="Y1193" s="136"/>
      <c r="Z1193" s="136"/>
      <c r="AA1193" s="231"/>
    </row>
    <row r="1194" spans="1:27" x14ac:dyDescent="0.2">
      <c r="A1194" s="39"/>
      <c r="B1194" s="39"/>
      <c r="C1194" s="43"/>
      <c r="D1194" s="43"/>
      <c r="E1194" s="43"/>
      <c r="F1194" s="132"/>
      <c r="G1194" s="41" t="e">
        <f>VLOOKUP(F1194,Pcode!A:B,2,FALSE)</f>
        <v>#N/A</v>
      </c>
      <c r="H1194" s="41"/>
      <c r="I1194" s="41" t="e">
        <f>VLOOKUP(H1194,Pcode!C:D,2,FALSE)</f>
        <v>#N/A</v>
      </c>
      <c r="J1194" s="41"/>
      <c r="K1194" s="160"/>
      <c r="L1194" s="160"/>
      <c r="M1194" s="46"/>
      <c r="N1194" s="136"/>
      <c r="O1194" s="136"/>
      <c r="P1194" s="136"/>
      <c r="Q1194" s="136"/>
      <c r="R1194" s="136"/>
      <c r="S1194" s="136"/>
      <c r="T1194" s="136"/>
      <c r="U1194" s="136"/>
      <c r="V1194" s="136"/>
      <c r="W1194" s="136"/>
      <c r="X1194" s="136"/>
      <c r="Y1194" s="136"/>
      <c r="Z1194" s="136"/>
      <c r="AA1194" s="231"/>
    </row>
    <row r="1195" spans="1:27" x14ac:dyDescent="0.2">
      <c r="A1195" s="39"/>
      <c r="B1195" s="39"/>
      <c r="C1195" s="43"/>
      <c r="D1195" s="43"/>
      <c r="E1195" s="43"/>
      <c r="F1195" s="132"/>
      <c r="G1195" s="41" t="e">
        <f>VLOOKUP(F1195,Pcode!A:B,2,FALSE)</f>
        <v>#N/A</v>
      </c>
      <c r="H1195" s="41"/>
      <c r="I1195" s="41" t="e">
        <f>VLOOKUP(H1195,Pcode!C:D,2,FALSE)</f>
        <v>#N/A</v>
      </c>
      <c r="J1195" s="41"/>
      <c r="K1195" s="160"/>
      <c r="L1195" s="160"/>
      <c r="M1195" s="46"/>
      <c r="N1195" s="136"/>
      <c r="O1195" s="136"/>
      <c r="P1195" s="136"/>
      <c r="Q1195" s="136"/>
      <c r="R1195" s="136"/>
      <c r="S1195" s="136"/>
      <c r="T1195" s="136"/>
      <c r="U1195" s="136"/>
      <c r="V1195" s="136"/>
      <c r="W1195" s="136"/>
      <c r="X1195" s="136"/>
      <c r="Y1195" s="136"/>
      <c r="Z1195" s="136"/>
      <c r="AA1195" s="231"/>
    </row>
    <row r="1196" spans="1:27" x14ac:dyDescent="0.2">
      <c r="A1196" s="39"/>
      <c r="B1196" s="39"/>
      <c r="C1196" s="43"/>
      <c r="D1196" s="43"/>
      <c r="E1196" s="43"/>
      <c r="F1196" s="132"/>
      <c r="G1196" s="41" t="e">
        <f>VLOOKUP(F1196,Pcode!A:B,2,FALSE)</f>
        <v>#N/A</v>
      </c>
      <c r="H1196" s="41"/>
      <c r="I1196" s="41" t="e">
        <f>VLOOKUP(H1196,Pcode!C:D,2,FALSE)</f>
        <v>#N/A</v>
      </c>
      <c r="J1196" s="41"/>
      <c r="K1196" s="160"/>
      <c r="L1196" s="160"/>
      <c r="M1196" s="46"/>
      <c r="N1196" s="136"/>
      <c r="O1196" s="136"/>
      <c r="P1196" s="136"/>
      <c r="Q1196" s="136"/>
      <c r="R1196" s="136"/>
      <c r="S1196" s="136"/>
      <c r="T1196" s="136"/>
      <c r="U1196" s="136"/>
      <c r="V1196" s="136"/>
      <c r="W1196" s="136"/>
      <c r="X1196" s="136"/>
      <c r="Y1196" s="136"/>
      <c r="Z1196" s="136"/>
      <c r="AA1196" s="231"/>
    </row>
    <row r="1197" spans="1:27" x14ac:dyDescent="0.2">
      <c r="A1197" s="39"/>
      <c r="B1197" s="39"/>
      <c r="C1197" s="43"/>
      <c r="D1197" s="43"/>
      <c r="E1197" s="43"/>
      <c r="F1197" s="132"/>
      <c r="G1197" s="41" t="e">
        <f>VLOOKUP(F1197,Pcode!A:B,2,FALSE)</f>
        <v>#N/A</v>
      </c>
      <c r="H1197" s="41"/>
      <c r="I1197" s="41" t="e">
        <f>VLOOKUP(H1197,Pcode!C:D,2,FALSE)</f>
        <v>#N/A</v>
      </c>
      <c r="J1197" s="41"/>
      <c r="K1197" s="160"/>
      <c r="L1197" s="160"/>
      <c r="M1197" s="46"/>
      <c r="N1197" s="136"/>
      <c r="O1197" s="136"/>
      <c r="P1197" s="136"/>
      <c r="Q1197" s="136"/>
      <c r="R1197" s="136"/>
      <c r="S1197" s="136"/>
      <c r="T1197" s="136"/>
      <c r="U1197" s="136"/>
      <c r="V1197" s="136"/>
      <c r="W1197" s="136"/>
      <c r="X1197" s="136"/>
      <c r="Y1197" s="136"/>
      <c r="Z1197" s="136"/>
      <c r="AA1197" s="231"/>
    </row>
    <row r="1198" spans="1:27" x14ac:dyDescent="0.2">
      <c r="A1198" s="39"/>
      <c r="B1198" s="39"/>
      <c r="C1198" s="43"/>
      <c r="D1198" s="43"/>
      <c r="E1198" s="43"/>
      <c r="F1198" s="132"/>
      <c r="G1198" s="41" t="e">
        <f>VLOOKUP(F1198,Pcode!A:B,2,FALSE)</f>
        <v>#N/A</v>
      </c>
      <c r="H1198" s="41"/>
      <c r="I1198" s="41" t="e">
        <f>VLOOKUP(H1198,Pcode!C:D,2,FALSE)</f>
        <v>#N/A</v>
      </c>
      <c r="J1198" s="41"/>
      <c r="K1198" s="160"/>
      <c r="L1198" s="160"/>
      <c r="M1198" s="46"/>
      <c r="N1198" s="136"/>
      <c r="O1198" s="136"/>
      <c r="P1198" s="136"/>
      <c r="Q1198" s="136"/>
      <c r="R1198" s="136"/>
      <c r="S1198" s="136"/>
      <c r="T1198" s="136"/>
      <c r="U1198" s="136"/>
      <c r="V1198" s="136"/>
      <c r="W1198" s="136"/>
      <c r="X1198" s="136"/>
      <c r="Y1198" s="136"/>
      <c r="Z1198" s="136"/>
      <c r="AA1198" s="231"/>
    </row>
    <row r="1199" spans="1:27" x14ac:dyDescent="0.2">
      <c r="A1199" s="39"/>
      <c r="B1199" s="39"/>
      <c r="C1199" s="43"/>
      <c r="D1199" s="43"/>
      <c r="E1199" s="43"/>
      <c r="F1199" s="132"/>
      <c r="G1199" s="41" t="e">
        <f>VLOOKUP(F1199,Pcode!A:B,2,FALSE)</f>
        <v>#N/A</v>
      </c>
      <c r="H1199" s="41"/>
      <c r="I1199" s="41" t="e">
        <f>VLOOKUP(H1199,Pcode!C:D,2,FALSE)</f>
        <v>#N/A</v>
      </c>
      <c r="J1199" s="41"/>
      <c r="K1199" s="160"/>
      <c r="L1199" s="160"/>
      <c r="M1199" s="46"/>
      <c r="N1199" s="136"/>
      <c r="O1199" s="136"/>
      <c r="P1199" s="136"/>
      <c r="Q1199" s="136"/>
      <c r="R1199" s="136"/>
      <c r="S1199" s="136"/>
      <c r="T1199" s="136"/>
      <c r="U1199" s="136"/>
      <c r="V1199" s="136"/>
      <c r="W1199" s="136"/>
      <c r="X1199" s="136"/>
      <c r="Y1199" s="136"/>
      <c r="Z1199" s="136"/>
      <c r="AA1199" s="231"/>
    </row>
    <row r="1200" spans="1:27" x14ac:dyDescent="0.2">
      <c r="A1200" s="39"/>
      <c r="B1200" s="39"/>
      <c r="C1200" s="43"/>
      <c r="D1200" s="43"/>
      <c r="E1200" s="43"/>
      <c r="F1200" s="132"/>
      <c r="G1200" s="41" t="e">
        <f>VLOOKUP(F1200,Pcode!A:B,2,FALSE)</f>
        <v>#N/A</v>
      </c>
      <c r="H1200" s="41"/>
      <c r="I1200" s="41" t="e">
        <f>VLOOKUP(H1200,Pcode!C:D,2,FALSE)</f>
        <v>#N/A</v>
      </c>
      <c r="J1200" s="41"/>
      <c r="K1200" s="160"/>
      <c r="L1200" s="160"/>
      <c r="M1200" s="46"/>
      <c r="N1200" s="136"/>
      <c r="O1200" s="136"/>
      <c r="P1200" s="136"/>
      <c r="Q1200" s="136"/>
      <c r="R1200" s="136"/>
      <c r="S1200" s="136"/>
      <c r="T1200" s="136"/>
      <c r="U1200" s="136"/>
      <c r="V1200" s="136"/>
      <c r="W1200" s="136"/>
      <c r="X1200" s="136"/>
      <c r="Y1200" s="136"/>
      <c r="Z1200" s="136"/>
      <c r="AA1200" s="231"/>
    </row>
    <row r="1201" spans="1:27" x14ac:dyDescent="0.2">
      <c r="A1201" s="39"/>
      <c r="B1201" s="39"/>
      <c r="C1201" s="43"/>
      <c r="D1201" s="43"/>
      <c r="E1201" s="43"/>
      <c r="F1201" s="132"/>
      <c r="G1201" s="41" t="e">
        <f>VLOOKUP(F1201,Pcode!A:B,2,FALSE)</f>
        <v>#N/A</v>
      </c>
      <c r="H1201" s="41"/>
      <c r="I1201" s="41" t="e">
        <f>VLOOKUP(H1201,Pcode!C:D,2,FALSE)</f>
        <v>#N/A</v>
      </c>
      <c r="J1201" s="41"/>
      <c r="K1201" s="160"/>
      <c r="L1201" s="160"/>
      <c r="M1201" s="46"/>
      <c r="N1201" s="136"/>
      <c r="O1201" s="136"/>
      <c r="P1201" s="136"/>
      <c r="Q1201" s="136"/>
      <c r="R1201" s="136"/>
      <c r="S1201" s="136"/>
      <c r="T1201" s="136"/>
      <c r="U1201" s="136"/>
      <c r="V1201" s="136"/>
      <c r="W1201" s="136"/>
      <c r="X1201" s="136"/>
      <c r="Y1201" s="136"/>
      <c r="Z1201" s="136"/>
      <c r="AA1201" s="231"/>
    </row>
    <row r="1202" spans="1:27" x14ac:dyDescent="0.2">
      <c r="A1202" s="39"/>
      <c r="B1202" s="39"/>
      <c r="C1202" s="43"/>
      <c r="D1202" s="43"/>
      <c r="E1202" s="43"/>
      <c r="F1202" s="132"/>
      <c r="G1202" s="41" t="e">
        <f>VLOOKUP(F1202,Pcode!A:B,2,FALSE)</f>
        <v>#N/A</v>
      </c>
      <c r="H1202" s="41"/>
      <c r="I1202" s="41" t="e">
        <f>VLOOKUP(H1202,Pcode!C:D,2,FALSE)</f>
        <v>#N/A</v>
      </c>
      <c r="J1202" s="41"/>
      <c r="K1202" s="160"/>
      <c r="L1202" s="160"/>
      <c r="M1202" s="46"/>
      <c r="N1202" s="136"/>
      <c r="O1202" s="136"/>
      <c r="P1202" s="136"/>
      <c r="Q1202" s="136"/>
      <c r="R1202" s="136"/>
      <c r="S1202" s="136"/>
      <c r="T1202" s="136"/>
      <c r="U1202" s="136"/>
      <c r="V1202" s="136"/>
      <c r="W1202" s="136"/>
      <c r="X1202" s="136"/>
      <c r="Y1202" s="136"/>
      <c r="Z1202" s="136"/>
      <c r="AA1202" s="231"/>
    </row>
    <row r="1203" spans="1:27" x14ac:dyDescent="0.2">
      <c r="A1203" s="39"/>
      <c r="B1203" s="39"/>
      <c r="C1203" s="43"/>
      <c r="D1203" s="43"/>
      <c r="E1203" s="43"/>
      <c r="F1203" s="132"/>
      <c r="G1203" s="41" t="e">
        <f>VLOOKUP(F1203,Pcode!A:B,2,FALSE)</f>
        <v>#N/A</v>
      </c>
      <c r="H1203" s="41"/>
      <c r="I1203" s="41" t="e">
        <f>VLOOKUP(H1203,Pcode!C:D,2,FALSE)</f>
        <v>#N/A</v>
      </c>
      <c r="J1203" s="41"/>
      <c r="K1203" s="160"/>
      <c r="L1203" s="160"/>
      <c r="M1203" s="46"/>
      <c r="N1203" s="136"/>
      <c r="O1203" s="136"/>
      <c r="P1203" s="136"/>
      <c r="Q1203" s="136"/>
      <c r="R1203" s="136"/>
      <c r="S1203" s="136"/>
      <c r="T1203" s="136"/>
      <c r="U1203" s="136"/>
      <c r="V1203" s="136"/>
      <c r="W1203" s="136"/>
      <c r="X1203" s="136"/>
      <c r="Y1203" s="136"/>
      <c r="Z1203" s="136"/>
      <c r="AA1203" s="231"/>
    </row>
    <row r="1204" spans="1:27" x14ac:dyDescent="0.2">
      <c r="A1204" s="39"/>
      <c r="B1204" s="39"/>
      <c r="C1204" s="43"/>
      <c r="D1204" s="43"/>
      <c r="E1204" s="43"/>
      <c r="F1204" s="132"/>
      <c r="G1204" s="41" t="e">
        <f>VLOOKUP(F1204,Pcode!A:B,2,FALSE)</f>
        <v>#N/A</v>
      </c>
      <c r="H1204" s="41"/>
      <c r="I1204" s="41" t="e">
        <f>VLOOKUP(H1204,Pcode!C:D,2,FALSE)</f>
        <v>#N/A</v>
      </c>
      <c r="J1204" s="41"/>
      <c r="K1204" s="160"/>
      <c r="L1204" s="160"/>
      <c r="M1204" s="46"/>
      <c r="N1204" s="136"/>
      <c r="O1204" s="136"/>
      <c r="P1204" s="136"/>
      <c r="Q1204" s="136"/>
      <c r="R1204" s="136"/>
      <c r="S1204" s="136"/>
      <c r="T1204" s="136"/>
      <c r="U1204" s="136"/>
      <c r="V1204" s="136"/>
      <c r="W1204" s="136"/>
      <c r="X1204" s="136"/>
      <c r="Y1204" s="136"/>
      <c r="Z1204" s="136"/>
      <c r="AA1204" s="231"/>
    </row>
    <row r="1205" spans="1:27" x14ac:dyDescent="0.2">
      <c r="A1205" s="39"/>
      <c r="B1205" s="39"/>
      <c r="C1205" s="43"/>
      <c r="D1205" s="43"/>
      <c r="E1205" s="43"/>
      <c r="F1205" s="132"/>
      <c r="G1205" s="41" t="e">
        <f>VLOOKUP(F1205,Pcode!A:B,2,FALSE)</f>
        <v>#N/A</v>
      </c>
      <c r="H1205" s="41"/>
      <c r="I1205" s="41" t="e">
        <f>VLOOKUP(H1205,Pcode!C:D,2,FALSE)</f>
        <v>#N/A</v>
      </c>
      <c r="J1205" s="41"/>
      <c r="K1205" s="160"/>
      <c r="L1205" s="160"/>
      <c r="M1205" s="46"/>
      <c r="N1205" s="136"/>
      <c r="O1205" s="136"/>
      <c r="P1205" s="136"/>
      <c r="Q1205" s="136"/>
      <c r="R1205" s="136"/>
      <c r="S1205" s="136"/>
      <c r="T1205" s="136"/>
      <c r="U1205" s="136"/>
      <c r="V1205" s="136"/>
      <c r="W1205" s="136"/>
      <c r="X1205" s="136"/>
      <c r="Y1205" s="136"/>
      <c r="Z1205" s="136"/>
      <c r="AA1205" s="231"/>
    </row>
    <row r="1206" spans="1:27" x14ac:dyDescent="0.2">
      <c r="A1206" s="39"/>
      <c r="B1206" s="39"/>
      <c r="C1206" s="43"/>
      <c r="D1206" s="43"/>
      <c r="E1206" s="43"/>
      <c r="F1206" s="132"/>
      <c r="G1206" s="41" t="e">
        <f>VLOOKUP(F1206,Pcode!A:B,2,FALSE)</f>
        <v>#N/A</v>
      </c>
      <c r="H1206" s="41"/>
      <c r="I1206" s="41" t="e">
        <f>VLOOKUP(H1206,Pcode!C:D,2,FALSE)</f>
        <v>#N/A</v>
      </c>
      <c r="J1206" s="41"/>
      <c r="K1206" s="160"/>
      <c r="L1206" s="160"/>
      <c r="M1206" s="46"/>
      <c r="N1206" s="136"/>
      <c r="O1206" s="136"/>
      <c r="P1206" s="136"/>
      <c r="Q1206" s="136"/>
      <c r="R1206" s="136"/>
      <c r="S1206" s="136"/>
      <c r="T1206" s="136"/>
      <c r="U1206" s="136"/>
      <c r="V1206" s="136"/>
      <c r="W1206" s="136"/>
      <c r="X1206" s="136"/>
      <c r="Y1206" s="136"/>
      <c r="Z1206" s="136"/>
      <c r="AA1206" s="231"/>
    </row>
    <row r="1207" spans="1:27" x14ac:dyDescent="0.2">
      <c r="A1207" s="39"/>
      <c r="B1207" s="39"/>
      <c r="C1207" s="43"/>
      <c r="D1207" s="43"/>
      <c r="E1207" s="43"/>
      <c r="F1207" s="132"/>
      <c r="G1207" s="41" t="e">
        <f>VLOOKUP(F1207,Pcode!A:B,2,FALSE)</f>
        <v>#N/A</v>
      </c>
      <c r="H1207" s="41"/>
      <c r="I1207" s="41" t="e">
        <f>VLOOKUP(H1207,Pcode!C:D,2,FALSE)</f>
        <v>#N/A</v>
      </c>
      <c r="J1207" s="41"/>
      <c r="K1207" s="160"/>
      <c r="L1207" s="160"/>
      <c r="M1207" s="46"/>
      <c r="N1207" s="136"/>
      <c r="O1207" s="136"/>
      <c r="P1207" s="136"/>
      <c r="Q1207" s="136"/>
      <c r="R1207" s="136"/>
      <c r="S1207" s="136"/>
      <c r="T1207" s="136"/>
      <c r="U1207" s="136"/>
      <c r="V1207" s="136"/>
      <c r="W1207" s="136"/>
      <c r="X1207" s="136"/>
      <c r="Y1207" s="136"/>
      <c r="Z1207" s="136"/>
      <c r="AA1207" s="231"/>
    </row>
    <row r="1208" spans="1:27" x14ac:dyDescent="0.2">
      <c r="A1208" s="39"/>
      <c r="B1208" s="39"/>
      <c r="C1208" s="43"/>
      <c r="D1208" s="43"/>
      <c r="E1208" s="43"/>
      <c r="F1208" s="132"/>
      <c r="G1208" s="41" t="e">
        <f>VLOOKUP(F1208,Pcode!A:B,2,FALSE)</f>
        <v>#N/A</v>
      </c>
      <c r="H1208" s="41"/>
      <c r="I1208" s="41" t="e">
        <f>VLOOKUP(H1208,Pcode!C:D,2,FALSE)</f>
        <v>#N/A</v>
      </c>
      <c r="J1208" s="41"/>
      <c r="K1208" s="160"/>
      <c r="L1208" s="160"/>
      <c r="M1208" s="46"/>
      <c r="N1208" s="136"/>
      <c r="O1208" s="136"/>
      <c r="P1208" s="136"/>
      <c r="Q1208" s="136"/>
      <c r="R1208" s="136"/>
      <c r="S1208" s="136"/>
      <c r="T1208" s="136"/>
      <c r="U1208" s="136"/>
      <c r="V1208" s="136"/>
      <c r="W1208" s="136"/>
      <c r="X1208" s="136"/>
      <c r="Y1208" s="136"/>
      <c r="Z1208" s="136"/>
      <c r="AA1208" s="231"/>
    </row>
    <row r="1209" spans="1:27" x14ac:dyDescent="0.2">
      <c r="A1209" s="39"/>
      <c r="B1209" s="39"/>
      <c r="C1209" s="43"/>
      <c r="D1209" s="43"/>
      <c r="E1209" s="43"/>
      <c r="F1209" s="132"/>
      <c r="G1209" s="41" t="e">
        <f>VLOOKUP(F1209,Pcode!A:B,2,FALSE)</f>
        <v>#N/A</v>
      </c>
      <c r="H1209" s="41"/>
      <c r="I1209" s="41" t="e">
        <f>VLOOKUP(H1209,Pcode!C:D,2,FALSE)</f>
        <v>#N/A</v>
      </c>
      <c r="J1209" s="41"/>
      <c r="K1209" s="160"/>
      <c r="L1209" s="160"/>
      <c r="M1209" s="46"/>
      <c r="N1209" s="136"/>
      <c r="O1209" s="136"/>
      <c r="P1209" s="136"/>
      <c r="Q1209" s="136"/>
      <c r="R1209" s="136"/>
      <c r="S1209" s="136"/>
      <c r="T1209" s="136"/>
      <c r="U1209" s="136"/>
      <c r="V1209" s="136"/>
      <c r="W1209" s="136"/>
      <c r="X1209" s="136"/>
      <c r="Y1209" s="136"/>
      <c r="Z1209" s="136"/>
      <c r="AA1209" s="231"/>
    </row>
    <row r="1210" spans="1:27" x14ac:dyDescent="0.2">
      <c r="A1210" s="39"/>
      <c r="B1210" s="39"/>
      <c r="C1210" s="43"/>
      <c r="D1210" s="43"/>
      <c r="E1210" s="43"/>
      <c r="F1210" s="132"/>
      <c r="G1210" s="41" t="e">
        <f>VLOOKUP(F1210,Pcode!A:B,2,FALSE)</f>
        <v>#N/A</v>
      </c>
      <c r="H1210" s="41"/>
      <c r="I1210" s="41" t="e">
        <f>VLOOKUP(H1210,Pcode!C:D,2,FALSE)</f>
        <v>#N/A</v>
      </c>
      <c r="J1210" s="41"/>
      <c r="K1210" s="160"/>
      <c r="L1210" s="160"/>
      <c r="M1210" s="46"/>
      <c r="N1210" s="136"/>
      <c r="O1210" s="136"/>
      <c r="P1210" s="136"/>
      <c r="Q1210" s="136"/>
      <c r="R1210" s="136"/>
      <c r="S1210" s="136"/>
      <c r="T1210" s="136"/>
      <c r="U1210" s="136"/>
      <c r="V1210" s="136"/>
      <c r="W1210" s="136"/>
      <c r="X1210" s="136"/>
      <c r="Y1210" s="136"/>
      <c r="Z1210" s="136"/>
      <c r="AA1210" s="231"/>
    </row>
    <row r="1211" spans="1:27" x14ac:dyDescent="0.2">
      <c r="A1211" s="39"/>
      <c r="B1211" s="39"/>
      <c r="C1211" s="43"/>
      <c r="D1211" s="43"/>
      <c r="E1211" s="43"/>
      <c r="F1211" s="132"/>
      <c r="G1211" s="41" t="e">
        <f>VLOOKUP(F1211,Pcode!A:B,2,FALSE)</f>
        <v>#N/A</v>
      </c>
      <c r="H1211" s="41"/>
      <c r="I1211" s="41" t="e">
        <f>VLOOKUP(H1211,Pcode!C:D,2,FALSE)</f>
        <v>#N/A</v>
      </c>
      <c r="J1211" s="41"/>
      <c r="K1211" s="160"/>
      <c r="L1211" s="160"/>
      <c r="M1211" s="46"/>
      <c r="N1211" s="136"/>
      <c r="O1211" s="136"/>
      <c r="P1211" s="136"/>
      <c r="Q1211" s="136"/>
      <c r="R1211" s="136"/>
      <c r="S1211" s="136"/>
      <c r="T1211" s="136"/>
      <c r="U1211" s="136"/>
      <c r="V1211" s="136"/>
      <c r="W1211" s="136"/>
      <c r="X1211" s="136"/>
      <c r="Y1211" s="136"/>
      <c r="Z1211" s="136"/>
      <c r="AA1211" s="231"/>
    </row>
    <row r="1212" spans="1:27" x14ac:dyDescent="0.2">
      <c r="A1212" s="39"/>
      <c r="B1212" s="39"/>
      <c r="C1212" s="43"/>
      <c r="D1212" s="43"/>
      <c r="E1212" s="43"/>
      <c r="F1212" s="132"/>
      <c r="G1212" s="41" t="e">
        <f>VLOOKUP(F1212,Pcode!A:B,2,FALSE)</f>
        <v>#N/A</v>
      </c>
      <c r="H1212" s="41"/>
      <c r="I1212" s="41" t="e">
        <f>VLOOKUP(H1212,Pcode!C:D,2,FALSE)</f>
        <v>#N/A</v>
      </c>
      <c r="J1212" s="41"/>
      <c r="K1212" s="160"/>
      <c r="L1212" s="160"/>
      <c r="M1212" s="46"/>
      <c r="N1212" s="136"/>
      <c r="O1212" s="136"/>
      <c r="P1212" s="136"/>
      <c r="Q1212" s="136"/>
      <c r="R1212" s="136"/>
      <c r="S1212" s="136"/>
      <c r="T1212" s="136"/>
      <c r="U1212" s="136"/>
      <c r="V1212" s="136"/>
      <c r="W1212" s="136"/>
      <c r="X1212" s="136"/>
      <c r="Y1212" s="136"/>
      <c r="Z1212" s="136"/>
      <c r="AA1212" s="231"/>
    </row>
    <row r="1213" spans="1:27" x14ac:dyDescent="0.2">
      <c r="A1213" s="39"/>
      <c r="B1213" s="39"/>
      <c r="C1213" s="43"/>
      <c r="D1213" s="43"/>
      <c r="E1213" s="43"/>
      <c r="F1213" s="132"/>
      <c r="G1213" s="41" t="e">
        <f>VLOOKUP(F1213,Pcode!A:B,2,FALSE)</f>
        <v>#N/A</v>
      </c>
      <c r="H1213" s="41"/>
      <c r="I1213" s="41" t="e">
        <f>VLOOKUP(H1213,Pcode!C:D,2,FALSE)</f>
        <v>#N/A</v>
      </c>
      <c r="J1213" s="41"/>
      <c r="K1213" s="160"/>
      <c r="L1213" s="160"/>
      <c r="M1213" s="46"/>
      <c r="N1213" s="136"/>
      <c r="O1213" s="136"/>
      <c r="P1213" s="136"/>
      <c r="Q1213" s="136"/>
      <c r="R1213" s="136"/>
      <c r="S1213" s="136"/>
      <c r="T1213" s="136"/>
      <c r="U1213" s="136"/>
      <c r="V1213" s="136"/>
      <c r="W1213" s="136"/>
      <c r="X1213" s="136"/>
      <c r="Y1213" s="136"/>
      <c r="Z1213" s="136"/>
      <c r="AA1213" s="231"/>
    </row>
    <row r="1214" spans="1:27" x14ac:dyDescent="0.2">
      <c r="A1214" s="39"/>
      <c r="B1214" s="39"/>
      <c r="C1214" s="43"/>
      <c r="D1214" s="43"/>
      <c r="E1214" s="43"/>
      <c r="F1214" s="132"/>
      <c r="G1214" s="41" t="e">
        <f>VLOOKUP(F1214,Pcode!A:B,2,FALSE)</f>
        <v>#N/A</v>
      </c>
      <c r="H1214" s="41"/>
      <c r="I1214" s="41" t="e">
        <f>VLOOKUP(H1214,Pcode!C:D,2,FALSE)</f>
        <v>#N/A</v>
      </c>
      <c r="J1214" s="41"/>
      <c r="K1214" s="160"/>
      <c r="L1214" s="160"/>
      <c r="M1214" s="46"/>
      <c r="N1214" s="136"/>
      <c r="O1214" s="136"/>
      <c r="P1214" s="136"/>
      <c r="Q1214" s="136"/>
      <c r="R1214" s="136"/>
      <c r="S1214" s="136"/>
      <c r="T1214" s="136"/>
      <c r="U1214" s="136"/>
      <c r="V1214" s="136"/>
      <c r="W1214" s="136"/>
      <c r="X1214" s="136"/>
      <c r="Y1214" s="136"/>
      <c r="Z1214" s="136"/>
      <c r="AA1214" s="231"/>
    </row>
    <row r="1215" spans="1:27" x14ac:dyDescent="0.2">
      <c r="A1215" s="39"/>
      <c r="B1215" s="39"/>
      <c r="C1215" s="43"/>
      <c r="D1215" s="43"/>
      <c r="E1215" s="43"/>
      <c r="F1215" s="132"/>
      <c r="G1215" s="41" t="e">
        <f>VLOOKUP(F1215,Pcode!A:B,2,FALSE)</f>
        <v>#N/A</v>
      </c>
      <c r="H1215" s="41"/>
      <c r="I1215" s="41" t="e">
        <f>VLOOKUP(H1215,Pcode!C:D,2,FALSE)</f>
        <v>#N/A</v>
      </c>
      <c r="J1215" s="41"/>
      <c r="K1215" s="160"/>
      <c r="L1215" s="160"/>
      <c r="M1215" s="46"/>
      <c r="N1215" s="136"/>
      <c r="O1215" s="136"/>
      <c r="P1215" s="136"/>
      <c r="Q1215" s="136"/>
      <c r="R1215" s="136"/>
      <c r="S1215" s="136"/>
      <c r="T1215" s="136"/>
      <c r="U1215" s="136"/>
      <c r="V1215" s="136"/>
      <c r="W1215" s="136"/>
      <c r="X1215" s="136"/>
      <c r="Y1215" s="136"/>
      <c r="Z1215" s="136"/>
      <c r="AA1215" s="231"/>
    </row>
    <row r="1216" spans="1:27" x14ac:dyDescent="0.2">
      <c r="A1216" s="39"/>
      <c r="B1216" s="39"/>
      <c r="C1216" s="43"/>
      <c r="D1216" s="43"/>
      <c r="E1216" s="43"/>
      <c r="F1216" s="132"/>
      <c r="G1216" s="41" t="e">
        <f>VLOOKUP(F1216,Pcode!A:B,2,FALSE)</f>
        <v>#N/A</v>
      </c>
      <c r="H1216" s="41"/>
      <c r="I1216" s="41" t="e">
        <f>VLOOKUP(H1216,Pcode!C:D,2,FALSE)</f>
        <v>#N/A</v>
      </c>
      <c r="J1216" s="41"/>
      <c r="K1216" s="160"/>
      <c r="L1216" s="160"/>
      <c r="M1216" s="46"/>
      <c r="N1216" s="136"/>
      <c r="O1216" s="136"/>
      <c r="P1216" s="136"/>
      <c r="Q1216" s="136"/>
      <c r="R1216" s="136"/>
      <c r="S1216" s="136"/>
      <c r="T1216" s="136"/>
      <c r="U1216" s="136"/>
      <c r="V1216" s="136"/>
      <c r="W1216" s="136"/>
      <c r="X1216" s="136"/>
      <c r="Y1216" s="136"/>
      <c r="Z1216" s="136"/>
      <c r="AA1216" s="231"/>
    </row>
    <row r="1217" spans="1:27" x14ac:dyDescent="0.2">
      <c r="A1217" s="39"/>
      <c r="B1217" s="39"/>
      <c r="C1217" s="43"/>
      <c r="D1217" s="43"/>
      <c r="E1217" s="43"/>
      <c r="F1217" s="132"/>
      <c r="G1217" s="41" t="e">
        <f>VLOOKUP(F1217,Pcode!A:B,2,FALSE)</f>
        <v>#N/A</v>
      </c>
      <c r="H1217" s="41"/>
      <c r="I1217" s="41" t="e">
        <f>VLOOKUP(H1217,Pcode!C:D,2,FALSE)</f>
        <v>#N/A</v>
      </c>
      <c r="J1217" s="41"/>
      <c r="K1217" s="160"/>
      <c r="L1217" s="160"/>
      <c r="M1217" s="46"/>
      <c r="N1217" s="136"/>
      <c r="O1217" s="136"/>
      <c r="P1217" s="136"/>
      <c r="Q1217" s="136"/>
      <c r="R1217" s="136"/>
      <c r="S1217" s="136"/>
      <c r="T1217" s="136"/>
      <c r="U1217" s="136"/>
      <c r="V1217" s="136"/>
      <c r="W1217" s="136"/>
      <c r="X1217" s="136"/>
      <c r="Y1217" s="136"/>
      <c r="Z1217" s="136"/>
      <c r="AA1217" s="231"/>
    </row>
    <row r="1218" spans="1:27" x14ac:dyDescent="0.2">
      <c r="A1218" s="39"/>
      <c r="B1218" s="39"/>
      <c r="C1218" s="43"/>
      <c r="D1218" s="43"/>
      <c r="E1218" s="43"/>
      <c r="F1218" s="132"/>
      <c r="G1218" s="41" t="e">
        <f>VLOOKUP(F1218,Pcode!A:B,2,FALSE)</f>
        <v>#N/A</v>
      </c>
      <c r="H1218" s="41"/>
      <c r="I1218" s="41" t="e">
        <f>VLOOKUP(H1218,Pcode!C:D,2,FALSE)</f>
        <v>#N/A</v>
      </c>
      <c r="J1218" s="41"/>
      <c r="K1218" s="160"/>
      <c r="L1218" s="160"/>
      <c r="M1218" s="46"/>
      <c r="N1218" s="136"/>
      <c r="O1218" s="136"/>
      <c r="P1218" s="136"/>
      <c r="Q1218" s="136"/>
      <c r="R1218" s="136"/>
      <c r="S1218" s="136"/>
      <c r="T1218" s="136"/>
      <c r="U1218" s="136"/>
      <c r="V1218" s="136"/>
      <c r="W1218" s="136"/>
      <c r="X1218" s="136"/>
      <c r="Y1218" s="136"/>
      <c r="Z1218" s="136"/>
      <c r="AA1218" s="231"/>
    </row>
    <row r="1219" spans="1:27" x14ac:dyDescent="0.2">
      <c r="A1219" s="39"/>
      <c r="B1219" s="39"/>
      <c r="C1219" s="43"/>
      <c r="D1219" s="43"/>
      <c r="E1219" s="43"/>
      <c r="F1219" s="132"/>
      <c r="G1219" s="41" t="e">
        <f>VLOOKUP(F1219,Pcode!A:B,2,FALSE)</f>
        <v>#N/A</v>
      </c>
      <c r="H1219" s="41"/>
      <c r="I1219" s="41" t="e">
        <f>VLOOKUP(H1219,Pcode!C:D,2,FALSE)</f>
        <v>#N/A</v>
      </c>
      <c r="J1219" s="41"/>
      <c r="K1219" s="160"/>
      <c r="L1219" s="160"/>
      <c r="M1219" s="46"/>
      <c r="N1219" s="136"/>
      <c r="O1219" s="136"/>
      <c r="P1219" s="136"/>
      <c r="Q1219" s="136"/>
      <c r="R1219" s="136"/>
      <c r="S1219" s="136"/>
      <c r="T1219" s="136"/>
      <c r="U1219" s="136"/>
      <c r="V1219" s="136"/>
      <c r="W1219" s="136"/>
      <c r="X1219" s="136"/>
      <c r="Y1219" s="136"/>
      <c r="Z1219" s="136"/>
      <c r="AA1219" s="231"/>
    </row>
    <row r="1220" spans="1:27" x14ac:dyDescent="0.2">
      <c r="A1220" s="39"/>
      <c r="B1220" s="39"/>
      <c r="C1220" s="43"/>
      <c r="D1220" s="43"/>
      <c r="E1220" s="43"/>
      <c r="F1220" s="132"/>
      <c r="G1220" s="41" t="e">
        <f>VLOOKUP(F1220,Pcode!A:B,2,FALSE)</f>
        <v>#N/A</v>
      </c>
      <c r="H1220" s="41"/>
      <c r="I1220" s="41" t="e">
        <f>VLOOKUP(H1220,Pcode!C:D,2,FALSE)</f>
        <v>#N/A</v>
      </c>
      <c r="J1220" s="41"/>
      <c r="K1220" s="160"/>
      <c r="L1220" s="160"/>
      <c r="M1220" s="46"/>
      <c r="N1220" s="136"/>
      <c r="O1220" s="136"/>
      <c r="P1220" s="136"/>
      <c r="Q1220" s="136"/>
      <c r="R1220" s="136"/>
      <c r="S1220" s="136"/>
      <c r="T1220" s="136"/>
      <c r="U1220" s="136"/>
      <c r="V1220" s="136"/>
      <c r="W1220" s="136"/>
      <c r="X1220" s="136"/>
      <c r="Y1220" s="136"/>
      <c r="Z1220" s="136"/>
      <c r="AA1220" s="231"/>
    </row>
    <row r="1221" spans="1:27" x14ac:dyDescent="0.2">
      <c r="A1221" s="39"/>
      <c r="B1221" s="39"/>
      <c r="C1221" s="43"/>
      <c r="D1221" s="43"/>
      <c r="E1221" s="43"/>
      <c r="F1221" s="132"/>
      <c r="G1221" s="41" t="e">
        <f>VLOOKUP(F1221,Pcode!A:B,2,FALSE)</f>
        <v>#N/A</v>
      </c>
      <c r="H1221" s="41"/>
      <c r="I1221" s="41" t="e">
        <f>VLOOKUP(H1221,Pcode!C:D,2,FALSE)</f>
        <v>#N/A</v>
      </c>
      <c r="J1221" s="41"/>
      <c r="K1221" s="160"/>
      <c r="L1221" s="160"/>
      <c r="M1221" s="46"/>
      <c r="N1221" s="136"/>
      <c r="O1221" s="136"/>
      <c r="P1221" s="136"/>
      <c r="Q1221" s="136"/>
      <c r="R1221" s="136"/>
      <c r="S1221" s="136"/>
      <c r="T1221" s="136"/>
      <c r="U1221" s="136"/>
      <c r="V1221" s="136"/>
      <c r="W1221" s="136"/>
      <c r="X1221" s="136"/>
      <c r="Y1221" s="136"/>
      <c r="Z1221" s="136"/>
      <c r="AA1221" s="231"/>
    </row>
    <row r="1222" spans="1:27" x14ac:dyDescent="0.2">
      <c r="A1222" s="39"/>
      <c r="B1222" s="39"/>
      <c r="C1222" s="43"/>
      <c r="D1222" s="43"/>
      <c r="E1222" s="43"/>
      <c r="F1222" s="132"/>
      <c r="G1222" s="41" t="e">
        <f>VLOOKUP(F1222,Pcode!A:B,2,FALSE)</f>
        <v>#N/A</v>
      </c>
      <c r="H1222" s="41"/>
      <c r="I1222" s="41" t="e">
        <f>VLOOKUP(H1222,Pcode!C:D,2,FALSE)</f>
        <v>#N/A</v>
      </c>
      <c r="J1222" s="41"/>
      <c r="K1222" s="160"/>
      <c r="L1222" s="160"/>
      <c r="M1222" s="46"/>
      <c r="N1222" s="136"/>
      <c r="O1222" s="136"/>
      <c r="P1222" s="136"/>
      <c r="Q1222" s="136"/>
      <c r="R1222" s="136"/>
      <c r="S1222" s="136"/>
      <c r="T1222" s="136"/>
      <c r="U1222" s="136"/>
      <c r="V1222" s="136"/>
      <c r="W1222" s="136"/>
      <c r="X1222" s="136"/>
      <c r="Y1222" s="136"/>
      <c r="Z1222" s="136"/>
      <c r="AA1222" s="231"/>
    </row>
    <row r="1223" spans="1:27" x14ac:dyDescent="0.2">
      <c r="A1223" s="39"/>
      <c r="B1223" s="39"/>
      <c r="C1223" s="43"/>
      <c r="D1223" s="43"/>
      <c r="E1223" s="43"/>
      <c r="F1223" s="132"/>
      <c r="G1223" s="41" t="e">
        <f>VLOOKUP(F1223,Pcode!A:B,2,FALSE)</f>
        <v>#N/A</v>
      </c>
      <c r="H1223" s="41"/>
      <c r="I1223" s="41" t="e">
        <f>VLOOKUP(H1223,Pcode!C:D,2,FALSE)</f>
        <v>#N/A</v>
      </c>
      <c r="J1223" s="41"/>
      <c r="K1223" s="160"/>
      <c r="L1223" s="160"/>
      <c r="M1223" s="46"/>
      <c r="N1223" s="136"/>
      <c r="O1223" s="136"/>
      <c r="P1223" s="136"/>
      <c r="Q1223" s="136"/>
      <c r="R1223" s="136"/>
      <c r="S1223" s="136"/>
      <c r="T1223" s="136"/>
      <c r="U1223" s="136"/>
      <c r="V1223" s="136"/>
      <c r="W1223" s="136"/>
      <c r="X1223" s="136"/>
      <c r="Y1223" s="136"/>
      <c r="Z1223" s="136"/>
      <c r="AA1223" s="231"/>
    </row>
    <row r="1224" spans="1:27" x14ac:dyDescent="0.2">
      <c r="A1224" s="39"/>
      <c r="B1224" s="39"/>
      <c r="C1224" s="43"/>
      <c r="D1224" s="43"/>
      <c r="E1224" s="43"/>
      <c r="F1224" s="132"/>
      <c r="G1224" s="41" t="e">
        <f>VLOOKUP(F1224,Pcode!A:B,2,FALSE)</f>
        <v>#N/A</v>
      </c>
      <c r="H1224" s="41"/>
      <c r="I1224" s="41" t="e">
        <f>VLOOKUP(H1224,Pcode!C:D,2,FALSE)</f>
        <v>#N/A</v>
      </c>
      <c r="J1224" s="41"/>
      <c r="K1224" s="160"/>
      <c r="L1224" s="160"/>
      <c r="M1224" s="46"/>
      <c r="N1224" s="136"/>
      <c r="O1224" s="136"/>
      <c r="P1224" s="136"/>
      <c r="Q1224" s="136"/>
      <c r="R1224" s="136"/>
      <c r="S1224" s="136"/>
      <c r="T1224" s="136"/>
      <c r="U1224" s="136"/>
      <c r="V1224" s="136"/>
      <c r="W1224" s="136"/>
      <c r="X1224" s="136"/>
      <c r="Y1224" s="136"/>
      <c r="Z1224" s="136"/>
      <c r="AA1224" s="231"/>
    </row>
    <row r="1225" spans="1:27" x14ac:dyDescent="0.2">
      <c r="A1225" s="39"/>
      <c r="B1225" s="39"/>
      <c r="C1225" s="43"/>
      <c r="D1225" s="43"/>
      <c r="E1225" s="43"/>
      <c r="F1225" s="132"/>
      <c r="G1225" s="41" t="e">
        <f>VLOOKUP(F1225,Pcode!A:B,2,FALSE)</f>
        <v>#N/A</v>
      </c>
      <c r="H1225" s="41"/>
      <c r="I1225" s="41" t="e">
        <f>VLOOKUP(H1225,Pcode!C:D,2,FALSE)</f>
        <v>#N/A</v>
      </c>
      <c r="J1225" s="41"/>
      <c r="K1225" s="160"/>
      <c r="L1225" s="160"/>
      <c r="M1225" s="46"/>
      <c r="N1225" s="136"/>
      <c r="O1225" s="136"/>
      <c r="P1225" s="136"/>
      <c r="Q1225" s="136"/>
      <c r="R1225" s="136"/>
      <c r="S1225" s="136"/>
      <c r="T1225" s="136"/>
      <c r="U1225" s="136"/>
      <c r="V1225" s="136"/>
      <c r="W1225" s="136"/>
      <c r="X1225" s="136"/>
      <c r="Y1225" s="136"/>
      <c r="Z1225" s="136"/>
      <c r="AA1225" s="231"/>
    </row>
    <row r="1226" spans="1:27" x14ac:dyDescent="0.2">
      <c r="A1226" s="39"/>
      <c r="B1226" s="39"/>
      <c r="C1226" s="43"/>
      <c r="D1226" s="43"/>
      <c r="E1226" s="43"/>
      <c r="F1226" s="132"/>
      <c r="G1226" s="41" t="e">
        <f>VLOOKUP(F1226,Pcode!A:B,2,FALSE)</f>
        <v>#N/A</v>
      </c>
      <c r="H1226" s="41"/>
      <c r="I1226" s="41" t="e">
        <f>VLOOKUP(H1226,Pcode!C:D,2,FALSE)</f>
        <v>#N/A</v>
      </c>
      <c r="J1226" s="41"/>
      <c r="K1226" s="160"/>
      <c r="L1226" s="160"/>
      <c r="M1226" s="46"/>
      <c r="N1226" s="136"/>
      <c r="O1226" s="136"/>
      <c r="P1226" s="136"/>
      <c r="Q1226" s="136"/>
      <c r="R1226" s="136"/>
      <c r="S1226" s="136"/>
      <c r="T1226" s="136"/>
      <c r="U1226" s="136"/>
      <c r="V1226" s="136"/>
      <c r="W1226" s="136"/>
      <c r="X1226" s="136"/>
      <c r="Y1226" s="136"/>
      <c r="Z1226" s="136"/>
      <c r="AA1226" s="231"/>
    </row>
    <row r="1227" spans="1:27" x14ac:dyDescent="0.2">
      <c r="A1227" s="39"/>
      <c r="B1227" s="39"/>
      <c r="C1227" s="43"/>
      <c r="D1227" s="43"/>
      <c r="E1227" s="43"/>
      <c r="F1227" s="132"/>
      <c r="G1227" s="41" t="e">
        <f>VLOOKUP(F1227,Pcode!A:B,2,FALSE)</f>
        <v>#N/A</v>
      </c>
      <c r="H1227" s="41"/>
      <c r="I1227" s="41" t="e">
        <f>VLOOKUP(H1227,Pcode!C:D,2,FALSE)</f>
        <v>#N/A</v>
      </c>
      <c r="J1227" s="41"/>
      <c r="K1227" s="160"/>
      <c r="L1227" s="160"/>
      <c r="M1227" s="46"/>
      <c r="N1227" s="136"/>
      <c r="O1227" s="136"/>
      <c r="P1227" s="136"/>
      <c r="Q1227" s="136"/>
      <c r="R1227" s="136"/>
      <c r="S1227" s="136"/>
      <c r="T1227" s="136"/>
      <c r="U1227" s="136"/>
      <c r="V1227" s="136"/>
      <c r="W1227" s="136"/>
      <c r="X1227" s="136"/>
      <c r="Y1227" s="136"/>
      <c r="Z1227" s="136"/>
      <c r="AA1227" s="231"/>
    </row>
    <row r="1228" spans="1:27" x14ac:dyDescent="0.2">
      <c r="A1228" s="39"/>
      <c r="B1228" s="39"/>
      <c r="C1228" s="43"/>
      <c r="D1228" s="43"/>
      <c r="E1228" s="43"/>
      <c r="F1228" s="132"/>
      <c r="G1228" s="41" t="e">
        <f>VLOOKUP(F1228,Pcode!A:B,2,FALSE)</f>
        <v>#N/A</v>
      </c>
      <c r="H1228" s="41"/>
      <c r="I1228" s="41" t="e">
        <f>VLOOKUP(H1228,Pcode!C:D,2,FALSE)</f>
        <v>#N/A</v>
      </c>
      <c r="J1228" s="41"/>
      <c r="K1228" s="160"/>
      <c r="L1228" s="160"/>
      <c r="M1228" s="46"/>
      <c r="N1228" s="136"/>
      <c r="O1228" s="136"/>
      <c r="P1228" s="136"/>
      <c r="Q1228" s="136"/>
      <c r="R1228" s="136"/>
      <c r="S1228" s="136"/>
      <c r="T1228" s="136"/>
      <c r="U1228" s="136"/>
      <c r="V1228" s="136"/>
      <c r="W1228" s="136"/>
      <c r="X1228" s="136"/>
      <c r="Y1228" s="136"/>
      <c r="Z1228" s="136"/>
      <c r="AA1228" s="231"/>
    </row>
    <row r="1229" spans="1:27" x14ac:dyDescent="0.2">
      <c r="A1229" s="39"/>
      <c r="B1229" s="39"/>
      <c r="C1229" s="43"/>
      <c r="D1229" s="43"/>
      <c r="E1229" s="43"/>
      <c r="F1229" s="132"/>
      <c r="G1229" s="41" t="e">
        <f>VLOOKUP(F1229,Pcode!A:B,2,FALSE)</f>
        <v>#N/A</v>
      </c>
      <c r="H1229" s="41"/>
      <c r="I1229" s="41" t="e">
        <f>VLOOKUP(H1229,Pcode!C:D,2,FALSE)</f>
        <v>#N/A</v>
      </c>
      <c r="J1229" s="41"/>
      <c r="K1229" s="160"/>
      <c r="L1229" s="160"/>
      <c r="M1229" s="46"/>
      <c r="N1229" s="136"/>
      <c r="O1229" s="136"/>
      <c r="P1229" s="136"/>
      <c r="Q1229" s="136"/>
      <c r="R1229" s="136"/>
      <c r="S1229" s="136"/>
      <c r="T1229" s="136"/>
      <c r="U1229" s="136"/>
      <c r="V1229" s="136"/>
      <c r="W1229" s="136"/>
      <c r="X1229" s="136"/>
      <c r="Y1229" s="136"/>
      <c r="Z1229" s="136"/>
      <c r="AA1229" s="231"/>
    </row>
    <row r="1230" spans="1:27" x14ac:dyDescent="0.2">
      <c r="A1230" s="39"/>
      <c r="B1230" s="39"/>
      <c r="C1230" s="43"/>
      <c r="D1230" s="43"/>
      <c r="E1230" s="43"/>
      <c r="F1230" s="132"/>
      <c r="G1230" s="41" t="e">
        <f>VLOOKUP(F1230,Pcode!A:B,2,FALSE)</f>
        <v>#N/A</v>
      </c>
      <c r="H1230" s="41"/>
      <c r="I1230" s="41" t="e">
        <f>VLOOKUP(H1230,Pcode!C:D,2,FALSE)</f>
        <v>#N/A</v>
      </c>
      <c r="J1230" s="41"/>
      <c r="K1230" s="160"/>
      <c r="L1230" s="160"/>
      <c r="M1230" s="46"/>
      <c r="N1230" s="136"/>
      <c r="O1230" s="136"/>
      <c r="P1230" s="136"/>
      <c r="Q1230" s="136"/>
      <c r="R1230" s="136"/>
      <c r="S1230" s="136"/>
      <c r="T1230" s="136"/>
      <c r="U1230" s="136"/>
      <c r="V1230" s="136"/>
      <c r="W1230" s="136"/>
      <c r="X1230" s="136"/>
      <c r="Y1230" s="136"/>
      <c r="Z1230" s="136"/>
      <c r="AA1230" s="231"/>
    </row>
    <row r="1231" spans="1:27" x14ac:dyDescent="0.2">
      <c r="A1231" s="39"/>
      <c r="B1231" s="39"/>
      <c r="C1231" s="43"/>
      <c r="D1231" s="43"/>
      <c r="E1231" s="43"/>
      <c r="F1231" s="132"/>
      <c r="G1231" s="41" t="e">
        <f>VLOOKUP(F1231,Pcode!A:B,2,FALSE)</f>
        <v>#N/A</v>
      </c>
      <c r="H1231" s="41"/>
      <c r="I1231" s="41" t="e">
        <f>VLOOKUP(H1231,Pcode!C:D,2,FALSE)</f>
        <v>#N/A</v>
      </c>
      <c r="J1231" s="41"/>
      <c r="K1231" s="160"/>
      <c r="L1231" s="160"/>
      <c r="M1231" s="46"/>
      <c r="N1231" s="136"/>
      <c r="O1231" s="136"/>
      <c r="P1231" s="136"/>
      <c r="Q1231" s="136"/>
      <c r="R1231" s="136"/>
      <c r="S1231" s="136"/>
      <c r="T1231" s="136"/>
      <c r="U1231" s="136"/>
      <c r="V1231" s="136"/>
      <c r="W1231" s="136"/>
      <c r="X1231" s="136"/>
      <c r="Y1231" s="136"/>
      <c r="Z1231" s="136"/>
      <c r="AA1231" s="231"/>
    </row>
    <row r="1232" spans="1:27" x14ac:dyDescent="0.2">
      <c r="A1232" s="39"/>
      <c r="B1232" s="39"/>
      <c r="C1232" s="43"/>
      <c r="D1232" s="43"/>
      <c r="E1232" s="43"/>
      <c r="F1232" s="132"/>
      <c r="G1232" s="41" t="e">
        <f>VLOOKUP(F1232,Pcode!A:B,2,FALSE)</f>
        <v>#N/A</v>
      </c>
      <c r="H1232" s="41"/>
      <c r="I1232" s="41" t="e">
        <f>VLOOKUP(H1232,Pcode!C:D,2,FALSE)</f>
        <v>#N/A</v>
      </c>
      <c r="J1232" s="41"/>
      <c r="K1232" s="160"/>
      <c r="L1232" s="160"/>
      <c r="M1232" s="46"/>
      <c r="N1232" s="136"/>
      <c r="O1232" s="136"/>
      <c r="P1232" s="136"/>
      <c r="Q1232" s="136"/>
      <c r="R1232" s="136"/>
      <c r="S1232" s="136"/>
      <c r="T1232" s="136"/>
      <c r="U1232" s="136"/>
      <c r="V1232" s="136"/>
      <c r="W1232" s="136"/>
      <c r="X1232" s="136"/>
      <c r="Y1232" s="136"/>
      <c r="Z1232" s="136"/>
      <c r="AA1232" s="231"/>
    </row>
    <row r="1233" spans="1:27" x14ac:dyDescent="0.2">
      <c r="A1233" s="39"/>
      <c r="B1233" s="39"/>
      <c r="C1233" s="43"/>
      <c r="D1233" s="43"/>
      <c r="E1233" s="43"/>
      <c r="F1233" s="132"/>
      <c r="G1233" s="41" t="e">
        <f>VLOOKUP(F1233,Pcode!A:B,2,FALSE)</f>
        <v>#N/A</v>
      </c>
      <c r="H1233" s="41"/>
      <c r="I1233" s="41" t="e">
        <f>VLOOKUP(H1233,Pcode!C:D,2,FALSE)</f>
        <v>#N/A</v>
      </c>
      <c r="J1233" s="41"/>
      <c r="K1233" s="160"/>
      <c r="L1233" s="160"/>
      <c r="M1233" s="46"/>
      <c r="N1233" s="136"/>
      <c r="O1233" s="136"/>
      <c r="P1233" s="136"/>
      <c r="Q1233" s="136"/>
      <c r="R1233" s="136"/>
      <c r="S1233" s="136"/>
      <c r="T1233" s="136"/>
      <c r="U1233" s="136"/>
      <c r="V1233" s="136"/>
      <c r="W1233" s="136"/>
      <c r="X1233" s="136"/>
      <c r="Y1233" s="136"/>
      <c r="Z1233" s="136"/>
      <c r="AA1233" s="231"/>
    </row>
    <row r="1234" spans="1:27" x14ac:dyDescent="0.2">
      <c r="A1234" s="39"/>
      <c r="B1234" s="39"/>
      <c r="C1234" s="43"/>
      <c r="D1234" s="43"/>
      <c r="E1234" s="43"/>
      <c r="F1234" s="132"/>
      <c r="G1234" s="41" t="e">
        <f>VLOOKUP(F1234,Pcode!A:B,2,FALSE)</f>
        <v>#N/A</v>
      </c>
      <c r="H1234" s="41"/>
      <c r="I1234" s="41" t="e">
        <f>VLOOKUP(H1234,Pcode!C:D,2,FALSE)</f>
        <v>#N/A</v>
      </c>
      <c r="J1234" s="41"/>
      <c r="K1234" s="160"/>
      <c r="L1234" s="160"/>
      <c r="M1234" s="46"/>
      <c r="N1234" s="136"/>
      <c r="O1234" s="136"/>
      <c r="P1234" s="136"/>
      <c r="Q1234" s="136"/>
      <c r="R1234" s="136"/>
      <c r="S1234" s="136"/>
      <c r="T1234" s="136"/>
      <c r="U1234" s="136"/>
      <c r="V1234" s="136"/>
      <c r="W1234" s="136"/>
      <c r="X1234" s="136"/>
      <c r="Y1234" s="136"/>
      <c r="Z1234" s="136"/>
      <c r="AA1234" s="231"/>
    </row>
    <row r="1235" spans="1:27" x14ac:dyDescent="0.2">
      <c r="A1235" s="39"/>
      <c r="B1235" s="39"/>
      <c r="C1235" s="43"/>
      <c r="D1235" s="43"/>
      <c r="E1235" s="43"/>
      <c r="F1235" s="132"/>
      <c r="G1235" s="41" t="e">
        <f>VLOOKUP(F1235,Pcode!A:B,2,FALSE)</f>
        <v>#N/A</v>
      </c>
      <c r="H1235" s="41"/>
      <c r="I1235" s="41" t="e">
        <f>VLOOKUP(H1235,Pcode!C:D,2,FALSE)</f>
        <v>#N/A</v>
      </c>
      <c r="J1235" s="41"/>
      <c r="K1235" s="160"/>
      <c r="L1235" s="160"/>
      <c r="M1235" s="46"/>
      <c r="N1235" s="136"/>
      <c r="O1235" s="136"/>
      <c r="P1235" s="136"/>
      <c r="Q1235" s="136"/>
      <c r="R1235" s="136"/>
      <c r="S1235" s="136"/>
      <c r="T1235" s="136"/>
      <c r="U1235" s="136"/>
      <c r="V1235" s="136"/>
      <c r="W1235" s="136"/>
      <c r="X1235" s="136"/>
      <c r="Y1235" s="136"/>
      <c r="Z1235" s="136"/>
      <c r="AA1235" s="231"/>
    </row>
    <row r="1236" spans="1:27" x14ac:dyDescent="0.2">
      <c r="A1236" s="39"/>
      <c r="B1236" s="39"/>
      <c r="C1236" s="43"/>
      <c r="D1236" s="43"/>
      <c r="E1236" s="43"/>
      <c r="F1236" s="132"/>
      <c r="G1236" s="41" t="e">
        <f>VLOOKUP(F1236,Pcode!A:B,2,FALSE)</f>
        <v>#N/A</v>
      </c>
      <c r="H1236" s="41"/>
      <c r="I1236" s="41" t="e">
        <f>VLOOKUP(H1236,Pcode!C:D,2,FALSE)</f>
        <v>#N/A</v>
      </c>
      <c r="J1236" s="41"/>
      <c r="K1236" s="160"/>
      <c r="L1236" s="160"/>
      <c r="M1236" s="46"/>
      <c r="N1236" s="136"/>
      <c r="O1236" s="136"/>
      <c r="P1236" s="136"/>
      <c r="Q1236" s="136"/>
      <c r="R1236" s="136"/>
      <c r="S1236" s="136"/>
      <c r="T1236" s="136"/>
      <c r="U1236" s="136"/>
      <c r="V1236" s="136"/>
      <c r="W1236" s="136"/>
      <c r="X1236" s="136"/>
      <c r="Y1236" s="136"/>
      <c r="Z1236" s="136"/>
      <c r="AA1236" s="231"/>
    </row>
    <row r="1237" spans="1:27" x14ac:dyDescent="0.2">
      <c r="A1237" s="39"/>
      <c r="B1237" s="39"/>
      <c r="C1237" s="43"/>
      <c r="D1237" s="43"/>
      <c r="E1237" s="43"/>
      <c r="F1237" s="132"/>
      <c r="G1237" s="41" t="e">
        <f>VLOOKUP(F1237,Pcode!A:B,2,FALSE)</f>
        <v>#N/A</v>
      </c>
      <c r="H1237" s="41"/>
      <c r="I1237" s="41" t="e">
        <f>VLOOKUP(H1237,Pcode!C:D,2,FALSE)</f>
        <v>#N/A</v>
      </c>
      <c r="J1237" s="41"/>
      <c r="K1237" s="160"/>
      <c r="L1237" s="160"/>
      <c r="M1237" s="46"/>
      <c r="N1237" s="136"/>
      <c r="O1237" s="136"/>
      <c r="P1237" s="136"/>
      <c r="Q1237" s="136"/>
      <c r="R1237" s="136"/>
      <c r="S1237" s="136"/>
      <c r="T1237" s="136"/>
      <c r="U1237" s="136"/>
      <c r="V1237" s="136"/>
      <c r="W1237" s="136"/>
      <c r="X1237" s="136"/>
      <c r="Y1237" s="136"/>
      <c r="Z1237" s="136"/>
      <c r="AA1237" s="231"/>
    </row>
    <row r="1238" spans="1:27" x14ac:dyDescent="0.2">
      <c r="A1238" s="39"/>
      <c r="B1238" s="39"/>
      <c r="C1238" s="43"/>
      <c r="D1238" s="43"/>
      <c r="E1238" s="43"/>
      <c r="F1238" s="132"/>
      <c r="G1238" s="41" t="e">
        <f>VLOOKUP(F1238,Pcode!A:B,2,FALSE)</f>
        <v>#N/A</v>
      </c>
      <c r="H1238" s="41"/>
      <c r="I1238" s="41" t="e">
        <f>VLOOKUP(H1238,Pcode!C:D,2,FALSE)</f>
        <v>#N/A</v>
      </c>
      <c r="J1238" s="41"/>
      <c r="K1238" s="160"/>
      <c r="L1238" s="160"/>
      <c r="M1238" s="46"/>
      <c r="N1238" s="136"/>
      <c r="O1238" s="136"/>
      <c r="P1238" s="136"/>
      <c r="Q1238" s="136"/>
      <c r="R1238" s="136"/>
      <c r="S1238" s="136"/>
      <c r="T1238" s="136"/>
      <c r="U1238" s="136"/>
      <c r="V1238" s="136"/>
      <c r="W1238" s="136"/>
      <c r="X1238" s="136"/>
      <c r="Y1238" s="136"/>
      <c r="Z1238" s="136"/>
      <c r="AA1238" s="231"/>
    </row>
    <row r="1239" spans="1:27" x14ac:dyDescent="0.2">
      <c r="A1239" s="39"/>
      <c r="B1239" s="39"/>
      <c r="C1239" s="43"/>
      <c r="D1239" s="43"/>
      <c r="E1239" s="43"/>
      <c r="F1239" s="132"/>
      <c r="G1239" s="41" t="e">
        <f>VLOOKUP(F1239,Pcode!A:B,2,FALSE)</f>
        <v>#N/A</v>
      </c>
      <c r="H1239" s="41"/>
      <c r="I1239" s="41" t="e">
        <f>VLOOKUP(H1239,Pcode!C:D,2,FALSE)</f>
        <v>#N/A</v>
      </c>
      <c r="J1239" s="41"/>
      <c r="K1239" s="160"/>
      <c r="L1239" s="160"/>
      <c r="M1239" s="46"/>
      <c r="N1239" s="136"/>
      <c r="O1239" s="136"/>
      <c r="P1239" s="136"/>
      <c r="Q1239" s="136"/>
      <c r="R1239" s="136"/>
      <c r="S1239" s="136"/>
      <c r="T1239" s="136"/>
      <c r="U1239" s="136"/>
      <c r="V1239" s="136"/>
      <c r="W1239" s="136"/>
      <c r="X1239" s="136"/>
      <c r="Y1239" s="136"/>
      <c r="Z1239" s="136"/>
      <c r="AA1239" s="231"/>
    </row>
    <row r="1240" spans="1:27" x14ac:dyDescent="0.2">
      <c r="A1240" s="39"/>
      <c r="B1240" s="39"/>
      <c r="C1240" s="43"/>
      <c r="D1240" s="43"/>
      <c r="E1240" s="43"/>
      <c r="F1240" s="132"/>
      <c r="G1240" s="41" t="e">
        <f>VLOOKUP(F1240,Pcode!A:B,2,FALSE)</f>
        <v>#N/A</v>
      </c>
      <c r="H1240" s="41"/>
      <c r="I1240" s="41" t="e">
        <f>VLOOKUP(H1240,Pcode!C:D,2,FALSE)</f>
        <v>#N/A</v>
      </c>
      <c r="J1240" s="41"/>
      <c r="K1240" s="160"/>
      <c r="L1240" s="160"/>
      <c r="M1240" s="46"/>
      <c r="N1240" s="136"/>
      <c r="O1240" s="136"/>
      <c r="P1240" s="136"/>
      <c r="Q1240" s="136"/>
      <c r="R1240" s="136"/>
      <c r="S1240" s="136"/>
      <c r="T1240" s="136"/>
      <c r="U1240" s="136"/>
      <c r="V1240" s="136"/>
      <c r="W1240" s="136"/>
      <c r="X1240" s="136"/>
      <c r="Y1240" s="136"/>
      <c r="Z1240" s="136"/>
      <c r="AA1240" s="231"/>
    </row>
    <row r="1241" spans="1:27" x14ac:dyDescent="0.2">
      <c r="A1241" s="39"/>
      <c r="B1241" s="39"/>
      <c r="C1241" s="43"/>
      <c r="D1241" s="43"/>
      <c r="E1241" s="43"/>
      <c r="F1241" s="132"/>
      <c r="G1241" s="41" t="e">
        <f>VLOOKUP(F1241,Pcode!A:B,2,FALSE)</f>
        <v>#N/A</v>
      </c>
      <c r="H1241" s="41"/>
      <c r="I1241" s="41" t="e">
        <f>VLOOKUP(H1241,Pcode!C:D,2,FALSE)</f>
        <v>#N/A</v>
      </c>
      <c r="J1241" s="41"/>
      <c r="K1241" s="160"/>
      <c r="L1241" s="160"/>
      <c r="M1241" s="46"/>
      <c r="N1241" s="136"/>
      <c r="O1241" s="136"/>
      <c r="P1241" s="136"/>
      <c r="Q1241" s="136"/>
      <c r="R1241" s="136"/>
      <c r="S1241" s="136"/>
      <c r="T1241" s="136"/>
      <c r="U1241" s="136"/>
      <c r="V1241" s="136"/>
      <c r="W1241" s="136"/>
      <c r="X1241" s="136"/>
      <c r="Y1241" s="136"/>
      <c r="Z1241" s="136"/>
      <c r="AA1241" s="231"/>
    </row>
    <row r="1242" spans="1:27" x14ac:dyDescent="0.2">
      <c r="A1242" s="39"/>
      <c r="B1242" s="39"/>
      <c r="C1242" s="43"/>
      <c r="D1242" s="43"/>
      <c r="E1242" s="43"/>
      <c r="F1242" s="132"/>
      <c r="G1242" s="41" t="e">
        <f>VLOOKUP(F1242,Pcode!A:B,2,FALSE)</f>
        <v>#N/A</v>
      </c>
      <c r="H1242" s="41"/>
      <c r="I1242" s="41" t="e">
        <f>VLOOKUP(H1242,Pcode!C:D,2,FALSE)</f>
        <v>#N/A</v>
      </c>
      <c r="J1242" s="41"/>
      <c r="K1242" s="160"/>
      <c r="L1242" s="160"/>
      <c r="M1242" s="46"/>
      <c r="N1242" s="136"/>
      <c r="O1242" s="136"/>
      <c r="P1242" s="136"/>
      <c r="Q1242" s="136"/>
      <c r="R1242" s="136"/>
      <c r="S1242" s="136"/>
      <c r="T1242" s="136"/>
      <c r="U1242" s="136"/>
      <c r="V1242" s="136"/>
      <c r="W1242" s="136"/>
      <c r="X1242" s="136"/>
      <c r="Y1242" s="136"/>
      <c r="Z1242" s="136"/>
      <c r="AA1242" s="231"/>
    </row>
    <row r="1243" spans="1:27" x14ac:dyDescent="0.2">
      <c r="A1243" s="39"/>
      <c r="B1243" s="39"/>
      <c r="C1243" s="43"/>
      <c r="D1243" s="43"/>
      <c r="E1243" s="43"/>
      <c r="F1243" s="132"/>
      <c r="G1243" s="41" t="e">
        <f>VLOOKUP(F1243,Pcode!A:B,2,FALSE)</f>
        <v>#N/A</v>
      </c>
      <c r="H1243" s="41"/>
      <c r="I1243" s="41" t="e">
        <f>VLOOKUP(H1243,Pcode!C:D,2,FALSE)</f>
        <v>#N/A</v>
      </c>
      <c r="J1243" s="41"/>
      <c r="K1243" s="160"/>
      <c r="L1243" s="160"/>
      <c r="M1243" s="46"/>
      <c r="N1243" s="136"/>
      <c r="O1243" s="136"/>
      <c r="P1243" s="136"/>
      <c r="Q1243" s="136"/>
      <c r="R1243" s="136"/>
      <c r="S1243" s="136"/>
      <c r="T1243" s="136"/>
      <c r="U1243" s="136"/>
      <c r="V1243" s="136"/>
      <c r="W1243" s="136"/>
      <c r="X1243" s="136"/>
      <c r="Y1243" s="136"/>
      <c r="Z1243" s="136"/>
      <c r="AA1243" s="231"/>
    </row>
    <row r="1244" spans="1:27" x14ac:dyDescent="0.2">
      <c r="A1244" s="39"/>
      <c r="B1244" s="39"/>
      <c r="C1244" s="43"/>
      <c r="D1244" s="43"/>
      <c r="E1244" s="43"/>
      <c r="F1244" s="132"/>
      <c r="G1244" s="41" t="e">
        <f>VLOOKUP(F1244,Pcode!A:B,2,FALSE)</f>
        <v>#N/A</v>
      </c>
      <c r="H1244" s="41"/>
      <c r="I1244" s="41" t="e">
        <f>VLOOKUP(H1244,Pcode!C:D,2,FALSE)</f>
        <v>#N/A</v>
      </c>
      <c r="J1244" s="41"/>
      <c r="K1244" s="160"/>
      <c r="L1244" s="160"/>
      <c r="M1244" s="46"/>
      <c r="N1244" s="136"/>
      <c r="O1244" s="136"/>
      <c r="P1244" s="136"/>
      <c r="Q1244" s="136"/>
      <c r="R1244" s="136"/>
      <c r="S1244" s="136"/>
      <c r="T1244" s="136"/>
      <c r="U1244" s="136"/>
      <c r="V1244" s="136"/>
      <c r="W1244" s="136"/>
      <c r="X1244" s="136"/>
      <c r="Y1244" s="136"/>
      <c r="Z1244" s="136"/>
      <c r="AA1244" s="231"/>
    </row>
    <row r="1245" spans="1:27" x14ac:dyDescent="0.2">
      <c r="A1245" s="39"/>
      <c r="B1245" s="39"/>
      <c r="C1245" s="43"/>
      <c r="D1245" s="43"/>
      <c r="E1245" s="43"/>
      <c r="F1245" s="132"/>
      <c r="G1245" s="41" t="e">
        <f>VLOOKUP(F1245,Pcode!A:B,2,FALSE)</f>
        <v>#N/A</v>
      </c>
      <c r="H1245" s="41"/>
      <c r="I1245" s="41" t="e">
        <f>VLOOKUP(H1245,Pcode!C:D,2,FALSE)</f>
        <v>#N/A</v>
      </c>
      <c r="J1245" s="41"/>
      <c r="K1245" s="160"/>
      <c r="L1245" s="160"/>
      <c r="M1245" s="46"/>
      <c r="N1245" s="136"/>
      <c r="O1245" s="136"/>
      <c r="P1245" s="136"/>
      <c r="Q1245" s="136"/>
      <c r="R1245" s="136"/>
      <c r="S1245" s="136"/>
      <c r="T1245" s="136"/>
      <c r="U1245" s="136"/>
      <c r="V1245" s="136"/>
      <c r="W1245" s="136"/>
      <c r="X1245" s="136"/>
      <c r="Y1245" s="136"/>
      <c r="Z1245" s="136"/>
      <c r="AA1245" s="231"/>
    </row>
    <row r="1246" spans="1:27" x14ac:dyDescent="0.2">
      <c r="A1246" s="39"/>
      <c r="B1246" s="39"/>
      <c r="C1246" s="43"/>
      <c r="D1246" s="43"/>
      <c r="E1246" s="43"/>
      <c r="F1246" s="132"/>
      <c r="G1246" s="41" t="e">
        <f>VLOOKUP(F1246,Pcode!A:B,2,FALSE)</f>
        <v>#N/A</v>
      </c>
      <c r="H1246" s="41"/>
      <c r="I1246" s="41" t="e">
        <f>VLOOKUP(H1246,Pcode!C:D,2,FALSE)</f>
        <v>#N/A</v>
      </c>
      <c r="J1246" s="41"/>
      <c r="K1246" s="160"/>
      <c r="L1246" s="160"/>
      <c r="M1246" s="46"/>
      <c r="N1246" s="136"/>
      <c r="O1246" s="136"/>
      <c r="P1246" s="136"/>
      <c r="Q1246" s="136"/>
      <c r="R1246" s="136"/>
      <c r="S1246" s="136"/>
      <c r="T1246" s="136"/>
      <c r="U1246" s="136"/>
      <c r="V1246" s="136"/>
      <c r="W1246" s="136"/>
      <c r="X1246" s="136"/>
      <c r="Y1246" s="136"/>
      <c r="Z1246" s="136"/>
      <c r="AA1246" s="231"/>
    </row>
    <row r="1247" spans="1:27" x14ac:dyDescent="0.2">
      <c r="A1247" s="39"/>
      <c r="B1247" s="39"/>
      <c r="C1247" s="43"/>
      <c r="D1247" s="43"/>
      <c r="E1247" s="43"/>
      <c r="F1247" s="132"/>
      <c r="G1247" s="41" t="e">
        <f>VLOOKUP(F1247,Pcode!A:B,2,FALSE)</f>
        <v>#N/A</v>
      </c>
      <c r="H1247" s="41"/>
      <c r="I1247" s="41" t="e">
        <f>VLOOKUP(H1247,Pcode!C:D,2,FALSE)</f>
        <v>#N/A</v>
      </c>
      <c r="J1247" s="41"/>
      <c r="K1247" s="160"/>
      <c r="L1247" s="160"/>
      <c r="M1247" s="46"/>
      <c r="N1247" s="136"/>
      <c r="O1247" s="136"/>
      <c r="P1247" s="136"/>
      <c r="Q1247" s="136"/>
      <c r="R1247" s="136"/>
      <c r="S1247" s="136"/>
      <c r="T1247" s="136"/>
      <c r="U1247" s="136"/>
      <c r="V1247" s="136"/>
      <c r="W1247" s="136"/>
      <c r="X1247" s="136"/>
      <c r="Y1247" s="136"/>
      <c r="Z1247" s="136"/>
      <c r="AA1247" s="231"/>
    </row>
    <row r="1248" spans="1:27" x14ac:dyDescent="0.2">
      <c r="A1248" s="39"/>
      <c r="B1248" s="39"/>
      <c r="C1248" s="43"/>
      <c r="D1248" s="43"/>
      <c r="E1248" s="43"/>
      <c r="F1248" s="132"/>
      <c r="G1248" s="41" t="e">
        <f>VLOOKUP(F1248,Pcode!A:B,2,FALSE)</f>
        <v>#N/A</v>
      </c>
      <c r="H1248" s="41"/>
      <c r="I1248" s="41" t="e">
        <f>VLOOKUP(H1248,Pcode!C:D,2,FALSE)</f>
        <v>#N/A</v>
      </c>
      <c r="J1248" s="41"/>
      <c r="K1248" s="160"/>
      <c r="L1248" s="160"/>
      <c r="M1248" s="46"/>
      <c r="N1248" s="136"/>
      <c r="O1248" s="136"/>
      <c r="P1248" s="136"/>
      <c r="Q1248" s="136"/>
      <c r="R1248" s="136"/>
      <c r="S1248" s="136"/>
      <c r="T1248" s="136"/>
      <c r="U1248" s="136"/>
      <c r="V1248" s="136"/>
      <c r="W1248" s="136"/>
      <c r="X1248" s="136"/>
      <c r="Y1248" s="136"/>
      <c r="Z1248" s="136"/>
      <c r="AA1248" s="231"/>
    </row>
    <row r="1249" spans="1:27" x14ac:dyDescent="0.2">
      <c r="A1249" s="39"/>
      <c r="B1249" s="39"/>
      <c r="C1249" s="43"/>
      <c r="D1249" s="43"/>
      <c r="E1249" s="43"/>
      <c r="F1249" s="132"/>
      <c r="G1249" s="41" t="e">
        <f>VLOOKUP(F1249,Pcode!A:B,2,FALSE)</f>
        <v>#N/A</v>
      </c>
      <c r="H1249" s="41"/>
      <c r="I1249" s="41" t="e">
        <f>VLOOKUP(H1249,Pcode!C:D,2,FALSE)</f>
        <v>#N/A</v>
      </c>
      <c r="J1249" s="41"/>
      <c r="K1249" s="160"/>
      <c r="L1249" s="160"/>
      <c r="M1249" s="46"/>
      <c r="N1249" s="136"/>
      <c r="O1249" s="136"/>
      <c r="P1249" s="136"/>
      <c r="Q1249" s="136"/>
      <c r="R1249" s="136"/>
      <c r="S1249" s="136"/>
      <c r="T1249" s="136"/>
      <c r="U1249" s="136"/>
      <c r="V1249" s="136"/>
      <c r="W1249" s="136"/>
      <c r="X1249" s="136"/>
      <c r="Y1249" s="136"/>
      <c r="Z1249" s="136"/>
      <c r="AA1249" s="231"/>
    </row>
    <row r="1250" spans="1:27" x14ac:dyDescent="0.2">
      <c r="A1250" s="39"/>
      <c r="B1250" s="39"/>
      <c r="C1250" s="43"/>
      <c r="D1250" s="43"/>
      <c r="E1250" s="43"/>
      <c r="F1250" s="132"/>
      <c r="G1250" s="41" t="e">
        <f>VLOOKUP(F1250,Pcode!A:B,2,FALSE)</f>
        <v>#N/A</v>
      </c>
      <c r="H1250" s="41"/>
      <c r="I1250" s="41" t="e">
        <f>VLOOKUP(H1250,Pcode!C:D,2,FALSE)</f>
        <v>#N/A</v>
      </c>
      <c r="J1250" s="41"/>
      <c r="K1250" s="160"/>
      <c r="L1250" s="160"/>
      <c r="M1250" s="46"/>
      <c r="N1250" s="136"/>
      <c r="O1250" s="136"/>
      <c r="P1250" s="136"/>
      <c r="Q1250" s="136"/>
      <c r="R1250" s="136"/>
      <c r="S1250" s="136"/>
      <c r="T1250" s="136"/>
      <c r="U1250" s="136"/>
      <c r="V1250" s="136"/>
      <c r="W1250" s="136"/>
      <c r="X1250" s="136"/>
      <c r="Y1250" s="136"/>
      <c r="Z1250" s="136"/>
      <c r="AA1250" s="231"/>
    </row>
    <row r="1251" spans="1:27" x14ac:dyDescent="0.2">
      <c r="A1251" s="39"/>
      <c r="B1251" s="39"/>
      <c r="C1251" s="43"/>
      <c r="D1251" s="43"/>
      <c r="E1251" s="43"/>
      <c r="F1251" s="132"/>
      <c r="G1251" s="41" t="e">
        <f>VLOOKUP(F1251,Pcode!A:B,2,FALSE)</f>
        <v>#N/A</v>
      </c>
      <c r="H1251" s="41"/>
      <c r="I1251" s="41" t="e">
        <f>VLOOKUP(H1251,Pcode!C:D,2,FALSE)</f>
        <v>#N/A</v>
      </c>
      <c r="J1251" s="41"/>
      <c r="K1251" s="160"/>
      <c r="L1251" s="160"/>
      <c r="M1251" s="46"/>
      <c r="N1251" s="136"/>
      <c r="O1251" s="136"/>
      <c r="P1251" s="136"/>
      <c r="Q1251" s="136"/>
      <c r="R1251" s="136"/>
      <c r="S1251" s="136"/>
      <c r="T1251" s="136"/>
      <c r="U1251" s="136"/>
      <c r="V1251" s="136"/>
      <c r="W1251" s="136"/>
      <c r="X1251" s="136"/>
      <c r="Y1251" s="136"/>
      <c r="Z1251" s="136"/>
      <c r="AA1251" s="231"/>
    </row>
    <row r="1252" spans="1:27" x14ac:dyDescent="0.2">
      <c r="A1252" s="39"/>
      <c r="B1252" s="39"/>
      <c r="C1252" s="43"/>
      <c r="D1252" s="43"/>
      <c r="E1252" s="43"/>
      <c r="F1252" s="132"/>
      <c r="G1252" s="41" t="e">
        <f>VLOOKUP(F1252,Pcode!A:B,2,FALSE)</f>
        <v>#N/A</v>
      </c>
      <c r="H1252" s="41"/>
      <c r="I1252" s="41" t="e">
        <f>VLOOKUP(H1252,Pcode!C:D,2,FALSE)</f>
        <v>#N/A</v>
      </c>
      <c r="J1252" s="41"/>
      <c r="K1252" s="160"/>
      <c r="L1252" s="160"/>
      <c r="M1252" s="46"/>
      <c r="N1252" s="136"/>
      <c r="O1252" s="136"/>
      <c r="P1252" s="136"/>
      <c r="Q1252" s="136"/>
      <c r="R1252" s="136"/>
      <c r="S1252" s="136"/>
      <c r="T1252" s="136"/>
      <c r="U1252" s="136"/>
      <c r="V1252" s="136"/>
      <c r="W1252" s="136"/>
      <c r="X1252" s="136"/>
      <c r="Y1252" s="136"/>
      <c r="Z1252" s="136"/>
      <c r="AA1252" s="231"/>
    </row>
    <row r="1253" spans="1:27" x14ac:dyDescent="0.2">
      <c r="A1253" s="39"/>
      <c r="B1253" s="39"/>
      <c r="C1253" s="43"/>
      <c r="D1253" s="43"/>
      <c r="E1253" s="43"/>
      <c r="F1253" s="132"/>
      <c r="G1253" s="41" t="e">
        <f>VLOOKUP(F1253,Pcode!A:B,2,FALSE)</f>
        <v>#N/A</v>
      </c>
      <c r="H1253" s="41"/>
      <c r="I1253" s="41" t="e">
        <f>VLOOKUP(H1253,Pcode!C:D,2,FALSE)</f>
        <v>#N/A</v>
      </c>
      <c r="J1253" s="41"/>
      <c r="K1253" s="160"/>
      <c r="L1253" s="160"/>
      <c r="M1253" s="46"/>
      <c r="N1253" s="136"/>
      <c r="O1253" s="136"/>
      <c r="P1253" s="136"/>
      <c r="Q1253" s="136"/>
      <c r="R1253" s="136"/>
      <c r="S1253" s="136"/>
      <c r="T1253" s="136"/>
      <c r="U1253" s="136"/>
      <c r="V1253" s="136"/>
      <c r="W1253" s="136"/>
      <c r="X1253" s="136"/>
      <c r="Y1253" s="136"/>
      <c r="Z1253" s="136"/>
      <c r="AA1253" s="231"/>
    </row>
    <row r="1254" spans="1:27" x14ac:dyDescent="0.2">
      <c r="A1254" s="39"/>
      <c r="B1254" s="39"/>
      <c r="C1254" s="43"/>
      <c r="D1254" s="43"/>
      <c r="E1254" s="43"/>
      <c r="F1254" s="132"/>
      <c r="G1254" s="41" t="e">
        <f>VLOOKUP(F1254,Pcode!A:B,2,FALSE)</f>
        <v>#N/A</v>
      </c>
      <c r="H1254" s="41"/>
      <c r="I1254" s="41" t="e">
        <f>VLOOKUP(H1254,Pcode!C:D,2,FALSE)</f>
        <v>#N/A</v>
      </c>
      <c r="J1254" s="41"/>
      <c r="K1254" s="160"/>
      <c r="L1254" s="160"/>
      <c r="M1254" s="46"/>
      <c r="N1254" s="136"/>
      <c r="O1254" s="136"/>
      <c r="P1254" s="136"/>
      <c r="Q1254" s="136"/>
      <c r="R1254" s="136"/>
      <c r="S1254" s="136"/>
      <c r="T1254" s="136"/>
      <c r="U1254" s="136"/>
      <c r="V1254" s="136"/>
      <c r="W1254" s="136"/>
      <c r="X1254" s="136"/>
      <c r="Y1254" s="136"/>
      <c r="Z1254" s="136"/>
      <c r="AA1254" s="231"/>
    </row>
    <row r="1255" spans="1:27" x14ac:dyDescent="0.2">
      <c r="A1255" s="39"/>
      <c r="B1255" s="39"/>
      <c r="C1255" s="43"/>
      <c r="D1255" s="43"/>
      <c r="E1255" s="43"/>
      <c r="F1255" s="132"/>
      <c r="G1255" s="41" t="e">
        <f>VLOOKUP(F1255,Pcode!A:B,2,FALSE)</f>
        <v>#N/A</v>
      </c>
      <c r="H1255" s="41"/>
      <c r="I1255" s="41" t="e">
        <f>VLOOKUP(H1255,Pcode!C:D,2,FALSE)</f>
        <v>#N/A</v>
      </c>
      <c r="J1255" s="41"/>
      <c r="K1255" s="160"/>
      <c r="L1255" s="160"/>
      <c r="M1255" s="46"/>
      <c r="N1255" s="136"/>
      <c r="O1255" s="136"/>
      <c r="P1255" s="136"/>
      <c r="Q1255" s="136"/>
      <c r="R1255" s="136"/>
      <c r="S1255" s="136"/>
      <c r="T1255" s="136"/>
      <c r="U1255" s="136"/>
      <c r="V1255" s="136"/>
      <c r="W1255" s="136"/>
      <c r="X1255" s="136"/>
      <c r="Y1255" s="136"/>
      <c r="Z1255" s="136"/>
      <c r="AA1255" s="231"/>
    </row>
    <row r="1256" spans="1:27" x14ac:dyDescent="0.2">
      <c r="A1256" s="39"/>
      <c r="B1256" s="39"/>
      <c r="C1256" s="43"/>
      <c r="D1256" s="43"/>
      <c r="E1256" s="43"/>
      <c r="F1256" s="132"/>
      <c r="G1256" s="41" t="e">
        <f>VLOOKUP(F1256,Pcode!A:B,2,FALSE)</f>
        <v>#N/A</v>
      </c>
      <c r="H1256" s="41"/>
      <c r="I1256" s="41" t="e">
        <f>VLOOKUP(H1256,Pcode!C:D,2,FALSE)</f>
        <v>#N/A</v>
      </c>
      <c r="J1256" s="41"/>
      <c r="K1256" s="160"/>
      <c r="L1256" s="160"/>
      <c r="M1256" s="46"/>
      <c r="N1256" s="136"/>
      <c r="O1256" s="136"/>
      <c r="P1256" s="136"/>
      <c r="Q1256" s="136"/>
      <c r="R1256" s="136"/>
      <c r="S1256" s="136"/>
      <c r="T1256" s="136"/>
      <c r="U1256" s="136"/>
      <c r="V1256" s="136"/>
      <c r="W1256" s="136"/>
      <c r="X1256" s="136"/>
      <c r="Y1256" s="136"/>
      <c r="Z1256" s="136"/>
      <c r="AA1256" s="231"/>
    </row>
    <row r="1257" spans="1:27" x14ac:dyDescent="0.2">
      <c r="A1257" s="39"/>
      <c r="B1257" s="39"/>
      <c r="C1257" s="43"/>
      <c r="D1257" s="43"/>
      <c r="E1257" s="43"/>
      <c r="F1257" s="132"/>
      <c r="G1257" s="41" t="e">
        <f>VLOOKUP(F1257,Pcode!A:B,2,FALSE)</f>
        <v>#N/A</v>
      </c>
      <c r="H1257" s="41"/>
      <c r="I1257" s="41" t="e">
        <f>VLOOKUP(H1257,Pcode!C:D,2,FALSE)</f>
        <v>#N/A</v>
      </c>
      <c r="J1257" s="41"/>
      <c r="K1257" s="160"/>
      <c r="L1257" s="160"/>
      <c r="M1257" s="46"/>
      <c r="N1257" s="136"/>
      <c r="O1257" s="136"/>
      <c r="P1257" s="136"/>
      <c r="Q1257" s="136"/>
      <c r="R1257" s="136"/>
      <c r="S1257" s="136"/>
      <c r="T1257" s="136"/>
      <c r="U1257" s="136"/>
      <c r="V1257" s="136"/>
      <c r="W1257" s="136"/>
      <c r="X1257" s="136"/>
      <c r="Y1257" s="136"/>
      <c r="Z1257" s="136"/>
      <c r="AA1257" s="231"/>
    </row>
    <row r="1258" spans="1:27" x14ac:dyDescent="0.2">
      <c r="A1258" s="39"/>
      <c r="B1258" s="39"/>
      <c r="C1258" s="43"/>
      <c r="D1258" s="43"/>
      <c r="E1258" s="43"/>
      <c r="F1258" s="132"/>
      <c r="G1258" s="41" t="e">
        <f>VLOOKUP(F1258,Pcode!A:B,2,FALSE)</f>
        <v>#N/A</v>
      </c>
      <c r="H1258" s="41"/>
      <c r="I1258" s="41" t="e">
        <f>VLOOKUP(H1258,Pcode!C:D,2,FALSE)</f>
        <v>#N/A</v>
      </c>
      <c r="J1258" s="41"/>
      <c r="K1258" s="160"/>
      <c r="L1258" s="160"/>
      <c r="M1258" s="46"/>
      <c r="N1258" s="136"/>
      <c r="O1258" s="136"/>
      <c r="P1258" s="136"/>
      <c r="Q1258" s="136"/>
      <c r="R1258" s="136"/>
      <c r="S1258" s="136"/>
      <c r="T1258" s="136"/>
      <c r="U1258" s="136"/>
      <c r="V1258" s="136"/>
      <c r="W1258" s="136"/>
      <c r="X1258" s="136"/>
      <c r="Y1258" s="136"/>
      <c r="Z1258" s="136"/>
      <c r="AA1258" s="231"/>
    </row>
    <row r="1259" spans="1:27" x14ac:dyDescent="0.2">
      <c r="A1259" s="39"/>
      <c r="B1259" s="39"/>
      <c r="C1259" s="43"/>
      <c r="D1259" s="43"/>
      <c r="E1259" s="43"/>
      <c r="F1259" s="132"/>
      <c r="G1259" s="41" t="e">
        <f>VLOOKUP(F1259,Pcode!A:B,2,FALSE)</f>
        <v>#N/A</v>
      </c>
      <c r="H1259" s="41"/>
      <c r="I1259" s="41" t="e">
        <f>VLOOKUP(H1259,Pcode!C:D,2,FALSE)</f>
        <v>#N/A</v>
      </c>
      <c r="J1259" s="41"/>
      <c r="K1259" s="160"/>
      <c r="L1259" s="160"/>
      <c r="M1259" s="46"/>
      <c r="N1259" s="136"/>
      <c r="O1259" s="136"/>
      <c r="P1259" s="136"/>
      <c r="Q1259" s="136"/>
      <c r="R1259" s="136"/>
      <c r="S1259" s="136"/>
      <c r="T1259" s="136"/>
      <c r="U1259" s="136"/>
      <c r="V1259" s="136"/>
      <c r="W1259" s="136"/>
      <c r="X1259" s="136"/>
      <c r="Y1259" s="136"/>
      <c r="Z1259" s="136"/>
      <c r="AA1259" s="231"/>
    </row>
  </sheetData>
  <autoFilter ref="A4:AA99">
    <sortState ref="A5:AC101">
      <sortCondition ref="C4:C101"/>
    </sortState>
  </autoFilter>
  <mergeCells count="3">
    <mergeCell ref="A1:C2"/>
    <mergeCell ref="F1:M2"/>
    <mergeCell ref="N2:Z2"/>
  </mergeCells>
  <dataValidations count="6">
    <dataValidation type="list" allowBlank="1" showInputMessage="1" showErrorMessage="1" sqref="H5:H1259 J5:J1259">
      <formula1>INDIRECT("Admin1_"&amp;G5)</formula1>
    </dataValidation>
    <dataValidation type="list" allowBlank="1" showInputMessage="1" showErrorMessage="1" sqref="C73:C1259 C4:E4 D24 E73:E1259 E69:E71 D69:D1259 C69:C71">
      <formula1>ORGANIZATION</formula1>
    </dataValidation>
    <dataValidation type="list" allowBlank="1" showInputMessage="1" showErrorMessage="1" sqref="E72 C5:C63 E5:E68 D25:D68 D5:D23 C72">
      <formula1>Organisations</formula1>
    </dataValidation>
    <dataValidation type="list" allowBlank="1" showInputMessage="1" showErrorMessage="1" sqref="M5:M1259">
      <formula1>Cibles</formula1>
    </dataValidation>
    <dataValidation type="list" allowBlank="1" showInputMessage="1" showErrorMessage="1" sqref="J4">
      <formula1>Communes</formula1>
    </dataValidation>
    <dataValidation type="list" allowBlank="1" showInputMessage="1" showErrorMessage="1" sqref="F5:F1259">
      <formula1>Admin1</formula1>
    </dataValidation>
  </dataValidations>
  <pageMargins left="0.7" right="0.7" top="0.75" bottom="0.75" header="0.3" footer="0.3"/>
  <pageSetup paperSize="9" orientation="portrait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"/>
  <sheetViews>
    <sheetView workbookViewId="0">
      <selection activeCell="P20" sqref="P20"/>
    </sheetView>
  </sheetViews>
  <sheetFormatPr baseColWidth="10" defaultColWidth="9.140625" defaultRowHeight="15" x14ac:dyDescent="0.25"/>
  <cols>
    <col min="1" max="1" width="7.5703125" bestFit="1" customWidth="1"/>
    <col min="2" max="2" width="7.42578125" bestFit="1" customWidth="1"/>
    <col min="3" max="3" width="8" bestFit="1" customWidth="1"/>
    <col min="4" max="4" width="15.42578125" bestFit="1" customWidth="1"/>
    <col min="5" max="5" width="11.85546875" bestFit="1" customWidth="1"/>
    <col min="6" max="6" width="6.85546875" bestFit="1" customWidth="1"/>
    <col min="7" max="7" width="11" bestFit="1" customWidth="1"/>
    <col min="8" max="8" width="14.5703125" bestFit="1" customWidth="1"/>
    <col min="9" max="9" width="6.28515625" bestFit="1" customWidth="1"/>
    <col min="10" max="10" width="14.28515625" bestFit="1" customWidth="1"/>
  </cols>
  <sheetData>
    <row r="1" spans="1:10" x14ac:dyDescent="0.25">
      <c r="A1" s="237" t="s">
        <v>1787</v>
      </c>
      <c r="B1" s="272" t="s">
        <v>1737</v>
      </c>
      <c r="C1" s="272"/>
      <c r="D1" s="237" t="s">
        <v>1813</v>
      </c>
      <c r="E1" s="237" t="s">
        <v>1449</v>
      </c>
      <c r="F1" s="237" t="s">
        <v>1450</v>
      </c>
      <c r="G1" s="237" t="s">
        <v>1452</v>
      </c>
      <c r="H1" s="237" t="s">
        <v>1702</v>
      </c>
      <c r="I1" s="237" t="s">
        <v>1453</v>
      </c>
      <c r="J1" s="237" t="s">
        <v>1454</v>
      </c>
    </row>
    <row r="2" spans="1:10" x14ac:dyDescent="0.25">
      <c r="A2" s="4" t="s">
        <v>1624</v>
      </c>
      <c r="B2" s="234" t="s">
        <v>1812</v>
      </c>
      <c r="C2" s="1">
        <v>700</v>
      </c>
      <c r="D2" s="1">
        <v>597</v>
      </c>
      <c r="E2" s="1">
        <v>2594</v>
      </c>
      <c r="F2" s="1">
        <v>2594</v>
      </c>
      <c r="G2" s="1">
        <v>1297</v>
      </c>
      <c r="H2" s="234" t="s">
        <v>1812</v>
      </c>
      <c r="I2" s="234" t="s">
        <v>1812</v>
      </c>
      <c r="J2" s="1">
        <v>1400</v>
      </c>
    </row>
    <row r="3" spans="1:10" x14ac:dyDescent="0.25">
      <c r="A3" s="4" t="s">
        <v>1647</v>
      </c>
      <c r="B3" s="234" t="s">
        <v>1812</v>
      </c>
      <c r="C3" s="234" t="s">
        <v>1812</v>
      </c>
      <c r="D3" s="1">
        <v>300</v>
      </c>
      <c r="E3" s="1">
        <v>600</v>
      </c>
      <c r="F3" s="1">
        <v>600</v>
      </c>
      <c r="G3" s="1">
        <v>300</v>
      </c>
      <c r="H3" s="234" t="s">
        <v>1812</v>
      </c>
      <c r="I3" s="234" t="s">
        <v>1812</v>
      </c>
      <c r="J3" s="234" t="s">
        <v>1812</v>
      </c>
    </row>
    <row r="4" spans="1:10" x14ac:dyDescent="0.25">
      <c r="A4" s="4" t="s">
        <v>1646</v>
      </c>
      <c r="B4" s="234" t="s">
        <v>1812</v>
      </c>
      <c r="C4" s="234" t="s">
        <v>1812</v>
      </c>
      <c r="D4" s="1">
        <v>800</v>
      </c>
      <c r="E4" s="1">
        <v>1600</v>
      </c>
      <c r="F4" s="1">
        <v>1600</v>
      </c>
      <c r="G4" s="1">
        <v>800</v>
      </c>
      <c r="H4" s="234" t="s">
        <v>1812</v>
      </c>
      <c r="I4" s="234" t="s">
        <v>1812</v>
      </c>
      <c r="J4" s="234" t="s">
        <v>1812</v>
      </c>
    </row>
    <row r="5" spans="1:10" x14ac:dyDescent="0.25">
      <c r="A5" s="4" t="s">
        <v>1599</v>
      </c>
      <c r="B5" s="234" t="s">
        <v>1812</v>
      </c>
      <c r="C5" s="234" t="s">
        <v>1812</v>
      </c>
      <c r="D5" s="1">
        <v>1060</v>
      </c>
      <c r="E5" s="1">
        <v>2120</v>
      </c>
      <c r="F5" s="1">
        <v>2120</v>
      </c>
      <c r="G5" s="1">
        <v>1060</v>
      </c>
      <c r="H5" s="234" t="s">
        <v>1812</v>
      </c>
      <c r="I5" s="234" t="s">
        <v>1812</v>
      </c>
      <c r="J5" s="234" t="s">
        <v>1812</v>
      </c>
    </row>
    <row r="6" spans="1:10" x14ac:dyDescent="0.25">
      <c r="A6" s="4" t="s">
        <v>1803</v>
      </c>
      <c r="B6" s="234" t="s">
        <v>1812</v>
      </c>
      <c r="C6" s="234" t="s">
        <v>1812</v>
      </c>
      <c r="D6" s="1">
        <v>600</v>
      </c>
      <c r="E6" s="1">
        <v>9312</v>
      </c>
      <c r="F6" s="1">
        <v>10514</v>
      </c>
      <c r="G6" s="1">
        <v>600</v>
      </c>
      <c r="H6" s="234" t="s">
        <v>1812</v>
      </c>
      <c r="I6" s="234" t="s">
        <v>1812</v>
      </c>
      <c r="J6" s="234" t="s">
        <v>1812</v>
      </c>
    </row>
    <row r="7" spans="1:10" x14ac:dyDescent="0.25">
      <c r="A7" s="4" t="s">
        <v>1584</v>
      </c>
      <c r="B7" s="234" t="s">
        <v>1812</v>
      </c>
      <c r="C7" s="234" t="s">
        <v>1812</v>
      </c>
      <c r="D7" s="1">
        <v>0</v>
      </c>
      <c r="E7" s="1">
        <v>1215</v>
      </c>
      <c r="F7" s="1">
        <v>3429</v>
      </c>
      <c r="G7" s="1">
        <v>345</v>
      </c>
      <c r="H7" s="234" t="s">
        <v>1812</v>
      </c>
      <c r="I7" s="234" t="s">
        <v>1812</v>
      </c>
      <c r="J7" s="1">
        <v>1479</v>
      </c>
    </row>
    <row r="8" spans="1:10" x14ac:dyDescent="0.25">
      <c r="A8" s="4" t="s">
        <v>1635</v>
      </c>
      <c r="B8" s="1">
        <v>17</v>
      </c>
      <c r="C8" s="1">
        <v>50</v>
      </c>
      <c r="D8" s="1">
        <v>982</v>
      </c>
      <c r="E8" s="1">
        <v>2886</v>
      </c>
      <c r="F8" s="1">
        <v>2796</v>
      </c>
      <c r="G8" s="1">
        <v>1814</v>
      </c>
      <c r="H8" s="234" t="s">
        <v>1812</v>
      </c>
      <c r="I8" s="234" t="s">
        <v>1812</v>
      </c>
      <c r="J8" s="234" t="s">
        <v>1812</v>
      </c>
    </row>
    <row r="9" spans="1:10" x14ac:dyDescent="0.25">
      <c r="A9" s="4" t="s">
        <v>1540</v>
      </c>
      <c r="B9" s="234" t="s">
        <v>1812</v>
      </c>
      <c r="C9" s="234" t="s">
        <v>1812</v>
      </c>
      <c r="D9" s="1">
        <v>0</v>
      </c>
      <c r="E9" s="1">
        <v>718</v>
      </c>
      <c r="F9" s="1">
        <v>718</v>
      </c>
      <c r="G9" s="1">
        <v>718</v>
      </c>
      <c r="H9" s="1">
        <v>718</v>
      </c>
      <c r="I9" s="1">
        <v>718</v>
      </c>
      <c r="J9" s="1">
        <v>718</v>
      </c>
    </row>
    <row r="10" spans="1:10" x14ac:dyDescent="0.25">
      <c r="A10" s="4" t="s">
        <v>1633</v>
      </c>
      <c r="B10" s="234" t="s">
        <v>1812</v>
      </c>
      <c r="C10" s="234" t="s">
        <v>1812</v>
      </c>
      <c r="D10" s="1">
        <v>200</v>
      </c>
      <c r="E10" s="1">
        <v>400</v>
      </c>
      <c r="F10" s="1">
        <v>400</v>
      </c>
      <c r="G10" s="1">
        <v>200</v>
      </c>
      <c r="H10" s="234" t="s">
        <v>1812</v>
      </c>
      <c r="I10" s="234" t="s">
        <v>1812</v>
      </c>
      <c r="J10" s="234" t="s">
        <v>1812</v>
      </c>
    </row>
    <row r="11" spans="1:10" x14ac:dyDescent="0.25">
      <c r="A11" s="4" t="s">
        <v>1804</v>
      </c>
      <c r="B11" s="234" t="s">
        <v>1812</v>
      </c>
      <c r="C11" s="234" t="s">
        <v>1812</v>
      </c>
      <c r="D11" s="1">
        <v>300</v>
      </c>
      <c r="E11" s="1">
        <v>600</v>
      </c>
      <c r="F11" s="1">
        <v>600</v>
      </c>
      <c r="G11" s="1">
        <v>300</v>
      </c>
      <c r="H11" s="234" t="s">
        <v>1812</v>
      </c>
      <c r="I11" s="234" t="s">
        <v>1812</v>
      </c>
      <c r="J11" s="234" t="s">
        <v>1812</v>
      </c>
    </row>
    <row r="12" spans="1:10" x14ac:dyDescent="0.25">
      <c r="A12" s="4" t="s">
        <v>1805</v>
      </c>
      <c r="B12" s="234" t="s">
        <v>1812</v>
      </c>
      <c r="C12" s="234" t="s">
        <v>1812</v>
      </c>
      <c r="D12" s="1">
        <v>800</v>
      </c>
      <c r="E12" s="1">
        <v>1600</v>
      </c>
      <c r="F12" s="1">
        <v>1600</v>
      </c>
      <c r="G12" s="1">
        <v>800</v>
      </c>
      <c r="H12" s="234" t="s">
        <v>1812</v>
      </c>
      <c r="I12" s="234" t="s">
        <v>1812</v>
      </c>
      <c r="J12" s="234" t="s">
        <v>1812</v>
      </c>
    </row>
    <row r="13" spans="1:10" x14ac:dyDescent="0.25">
      <c r="A13" s="4" t="s">
        <v>1637</v>
      </c>
      <c r="B13" s="234" t="s">
        <v>1812</v>
      </c>
      <c r="C13" s="234" t="s">
        <v>1812</v>
      </c>
      <c r="D13" s="1">
        <v>1709</v>
      </c>
      <c r="E13" s="1">
        <v>8608</v>
      </c>
      <c r="F13" s="1">
        <v>5793</v>
      </c>
      <c r="G13" s="1">
        <v>743</v>
      </c>
      <c r="H13" s="1">
        <v>4434</v>
      </c>
      <c r="I13" s="1">
        <v>2924</v>
      </c>
      <c r="J13" s="1">
        <v>5768</v>
      </c>
    </row>
    <row r="14" spans="1:10" x14ac:dyDescent="0.25">
      <c r="A14" s="4" t="s">
        <v>1634</v>
      </c>
      <c r="B14" s="234" t="s">
        <v>1812</v>
      </c>
      <c r="C14" s="234" t="s">
        <v>1812</v>
      </c>
      <c r="D14" s="234" t="s">
        <v>1812</v>
      </c>
      <c r="E14" s="1">
        <v>384</v>
      </c>
      <c r="F14" s="1">
        <v>384</v>
      </c>
      <c r="G14" s="1">
        <v>192</v>
      </c>
      <c r="H14" s="234" t="s">
        <v>1812</v>
      </c>
      <c r="I14" s="234" t="s">
        <v>1812</v>
      </c>
      <c r="J14" s="234" t="s">
        <v>1812</v>
      </c>
    </row>
    <row r="15" spans="1:10" x14ac:dyDescent="0.25">
      <c r="A15" s="236" t="s">
        <v>1788</v>
      </c>
      <c r="B15" s="235">
        <f>SUM(B6:B14)</f>
        <v>17</v>
      </c>
      <c r="C15" s="236">
        <v>750</v>
      </c>
      <c r="D15" s="236">
        <v>7348</v>
      </c>
      <c r="E15" s="236">
        <v>32637</v>
      </c>
      <c r="F15" s="236">
        <v>33148</v>
      </c>
      <c r="G15" s="236">
        <v>9169</v>
      </c>
      <c r="H15" s="236">
        <v>5152</v>
      </c>
      <c r="I15" s="236">
        <v>3642</v>
      </c>
      <c r="J15" s="236">
        <v>9365</v>
      </c>
    </row>
  </sheetData>
  <mergeCells count="1">
    <mergeCell ref="B1:C1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C41"/>
  <sheetViews>
    <sheetView workbookViewId="0">
      <selection activeCell="A11" sqref="A11"/>
    </sheetView>
  </sheetViews>
  <sheetFormatPr baseColWidth="10" defaultColWidth="9.140625" defaultRowHeight="15" x14ac:dyDescent="0.25"/>
  <cols>
    <col min="1" max="1" width="9.42578125" style="33" bestFit="1" customWidth="1"/>
    <col min="2" max="2" width="8.5703125" style="33" bestFit="1" customWidth="1"/>
    <col min="3" max="3" width="17" style="33" bestFit="1" customWidth="1"/>
  </cols>
  <sheetData>
    <row r="3" spans="1:3" ht="15.75" thickBot="1" x14ac:dyDescent="0.3"/>
    <row r="4" spans="1:3" ht="15.75" x14ac:dyDescent="0.25">
      <c r="A4" s="254" t="s">
        <v>1701</v>
      </c>
      <c r="B4" s="254"/>
      <c r="C4" s="254"/>
    </row>
    <row r="5" spans="1:3" x14ac:dyDescent="0.25">
      <c r="A5" s="73" t="s">
        <v>1699</v>
      </c>
      <c r="B5" s="74" t="s">
        <v>1698</v>
      </c>
      <c r="C5" s="75" t="s">
        <v>1697</v>
      </c>
    </row>
    <row r="6" spans="1:3" x14ac:dyDescent="0.25">
      <c r="A6" s="47">
        <v>130</v>
      </c>
      <c r="B6" s="47"/>
      <c r="C6" s="47"/>
    </row>
    <row r="7" spans="1:3" x14ac:dyDescent="0.25">
      <c r="A7" s="47"/>
      <c r="B7" s="47"/>
      <c r="C7" s="47"/>
    </row>
    <row r="8" spans="1:3" x14ac:dyDescent="0.25">
      <c r="A8" s="47"/>
      <c r="B8" s="47"/>
      <c r="C8" s="47"/>
    </row>
    <row r="9" spans="1:3" x14ac:dyDescent="0.25">
      <c r="A9" s="47"/>
      <c r="B9" s="47"/>
      <c r="C9" s="47"/>
    </row>
    <row r="10" spans="1:3" x14ac:dyDescent="0.25">
      <c r="A10" s="47"/>
      <c r="B10" s="47"/>
      <c r="C10" s="47"/>
    </row>
    <row r="11" spans="1:3" x14ac:dyDescent="0.25">
      <c r="A11" s="55">
        <v>1923</v>
      </c>
      <c r="B11" s="55"/>
      <c r="C11" s="55"/>
    </row>
    <row r="12" spans="1:3" x14ac:dyDescent="0.25">
      <c r="A12" s="47"/>
      <c r="B12" s="47"/>
      <c r="C12" s="47"/>
    </row>
    <row r="13" spans="1:3" x14ac:dyDescent="0.25">
      <c r="A13" s="47"/>
      <c r="B13" s="47"/>
      <c r="C13" s="47"/>
    </row>
    <row r="14" spans="1:3" x14ac:dyDescent="0.25">
      <c r="A14" s="55">
        <v>12274</v>
      </c>
      <c r="B14" s="55"/>
      <c r="C14" s="55"/>
    </row>
    <row r="15" spans="1:3" x14ac:dyDescent="0.25">
      <c r="A15" s="55"/>
      <c r="B15" s="55"/>
      <c r="C15" s="55"/>
    </row>
    <row r="16" spans="1:3" x14ac:dyDescent="0.25">
      <c r="A16" s="55"/>
      <c r="B16" s="55"/>
      <c r="C16" s="55"/>
    </row>
    <row r="17" spans="1:3" x14ac:dyDescent="0.25">
      <c r="A17" s="55"/>
      <c r="B17" s="55"/>
      <c r="C17" s="55"/>
    </row>
    <row r="18" spans="1:3" x14ac:dyDescent="0.25">
      <c r="A18" s="55"/>
      <c r="B18" s="55"/>
      <c r="C18" s="55"/>
    </row>
    <row r="19" spans="1:3" x14ac:dyDescent="0.25">
      <c r="A19" s="55"/>
      <c r="B19" s="55"/>
      <c r="C19" s="55"/>
    </row>
    <row r="20" spans="1:3" x14ac:dyDescent="0.25">
      <c r="A20" s="55"/>
      <c r="B20" s="55"/>
      <c r="C20" s="55"/>
    </row>
    <row r="21" spans="1:3" x14ac:dyDescent="0.25">
      <c r="A21" s="55"/>
      <c r="B21" s="55"/>
      <c r="C21" s="55"/>
    </row>
    <row r="22" spans="1:3" x14ac:dyDescent="0.25">
      <c r="A22" s="55"/>
      <c r="B22" s="55"/>
      <c r="C22" s="55"/>
    </row>
    <row r="23" spans="1:3" x14ac:dyDescent="0.25">
      <c r="A23" s="55"/>
      <c r="B23" s="55"/>
      <c r="C23" s="55"/>
    </row>
    <row r="24" spans="1:3" x14ac:dyDescent="0.25">
      <c r="A24" s="55"/>
      <c r="B24" s="55"/>
      <c r="C24" s="55"/>
    </row>
    <row r="25" spans="1:3" ht="15.75" thickBot="1" x14ac:dyDescent="0.3">
      <c r="A25" s="93">
        <f t="shared" ref="A25:C25" si="0">SUM(A6:A24)</f>
        <v>14327</v>
      </c>
      <c r="B25" s="93">
        <f t="shared" si="0"/>
        <v>0</v>
      </c>
      <c r="C25" s="93">
        <f t="shared" si="0"/>
        <v>0</v>
      </c>
    </row>
    <row r="41" spans="1:3" x14ac:dyDescent="0.25">
      <c r="A41" s="62"/>
      <c r="B41" s="62"/>
      <c r="C41" s="62"/>
    </row>
  </sheetData>
  <mergeCells count="1">
    <mergeCell ref="A4:C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</sheetPr>
  <dimension ref="A1:BT41"/>
  <sheetViews>
    <sheetView zoomScaleNormal="100" workbookViewId="0">
      <selection activeCell="BA11" sqref="BA11"/>
    </sheetView>
  </sheetViews>
  <sheetFormatPr baseColWidth="10" defaultColWidth="9.140625" defaultRowHeight="12.75" x14ac:dyDescent="0.2"/>
  <cols>
    <col min="1" max="1" width="16.140625" style="33" customWidth="1"/>
    <col min="2" max="2" width="21.28515625" style="33" customWidth="1"/>
    <col min="3" max="3" width="23.5703125" style="33" bestFit="1" customWidth="1"/>
    <col min="4" max="4" width="18.140625" style="33" bestFit="1" customWidth="1"/>
    <col min="5" max="5" width="10" style="71" bestFit="1" customWidth="1"/>
    <col min="6" max="6" width="31.42578125" style="33" bestFit="1" customWidth="1"/>
    <col min="7" max="7" width="10" style="71" bestFit="1" customWidth="1"/>
    <col min="8" max="8" width="11.7109375" style="33" bestFit="1" customWidth="1"/>
    <col min="9" max="9" width="7" style="33" bestFit="1" customWidth="1"/>
    <col min="10" max="10" width="8.5703125" style="33" bestFit="1" customWidth="1"/>
    <col min="11" max="11" width="17" style="33" bestFit="1" customWidth="1"/>
    <col min="12" max="12" width="6.42578125" style="33" bestFit="1" customWidth="1"/>
    <col min="13" max="13" width="8.5703125" style="33" bestFit="1" customWidth="1"/>
    <col min="14" max="14" width="17" style="33" bestFit="1" customWidth="1"/>
    <col min="15" max="15" width="7" style="33" bestFit="1" customWidth="1"/>
    <col min="16" max="16" width="8.5703125" style="33" bestFit="1" customWidth="1"/>
    <col min="17" max="17" width="17" style="33" bestFit="1" customWidth="1"/>
    <col min="18" max="18" width="6" style="33" bestFit="1" customWidth="1"/>
    <col min="19" max="19" width="8.5703125" style="33" bestFit="1" customWidth="1"/>
    <col min="20" max="20" width="17" style="33" bestFit="1" customWidth="1"/>
    <col min="21" max="21" width="6.42578125" style="33" bestFit="1" customWidth="1"/>
    <col min="22" max="22" width="8.5703125" style="33" bestFit="1" customWidth="1"/>
    <col min="23" max="23" width="17" style="33" bestFit="1" customWidth="1"/>
    <col min="24" max="24" width="8.42578125" style="33" bestFit="1" customWidth="1"/>
    <col min="25" max="25" width="8.5703125" style="33" bestFit="1" customWidth="1"/>
    <col min="26" max="26" width="17" style="33" bestFit="1" customWidth="1"/>
    <col min="27" max="27" width="8.42578125" style="33" bestFit="1" customWidth="1"/>
    <col min="28" max="28" width="9.42578125" style="33" bestFit="1" customWidth="1"/>
    <col min="29" max="29" width="17" style="33" bestFit="1" customWidth="1"/>
    <col min="30" max="30" width="8.42578125" style="33" bestFit="1" customWidth="1"/>
    <col min="31" max="31" width="9.42578125" style="33" bestFit="1" customWidth="1"/>
    <col min="32" max="32" width="17" style="33" bestFit="1" customWidth="1"/>
    <col min="33" max="34" width="9.42578125" style="33" bestFit="1" customWidth="1"/>
    <col min="35" max="35" width="17" style="33" bestFit="1" customWidth="1"/>
    <col min="36" max="36" width="6.42578125" style="33" bestFit="1" customWidth="1"/>
    <col min="37" max="37" width="8.5703125" style="33" bestFit="1" customWidth="1"/>
    <col min="38" max="38" width="17" style="33" bestFit="1" customWidth="1"/>
    <col min="39" max="39" width="8" style="33" bestFit="1" customWidth="1"/>
    <col min="40" max="40" width="9.42578125" style="33" bestFit="1" customWidth="1"/>
    <col min="41" max="41" width="17" style="33" bestFit="1" customWidth="1"/>
    <col min="42" max="42" width="8.42578125" style="33" bestFit="1" customWidth="1"/>
    <col min="43" max="43" width="9.42578125" style="33" bestFit="1" customWidth="1"/>
    <col min="44" max="44" width="17" style="33" bestFit="1" customWidth="1"/>
    <col min="45" max="45" width="8.42578125" style="33" bestFit="1" customWidth="1"/>
    <col min="46" max="46" width="8.5703125" style="33" bestFit="1" customWidth="1"/>
    <col min="47" max="47" width="17" style="33" bestFit="1" customWidth="1"/>
    <col min="48" max="48" width="8.42578125" style="33" bestFit="1" customWidth="1"/>
    <col min="49" max="49" width="8.5703125" style="33" bestFit="1" customWidth="1"/>
    <col min="50" max="50" width="17" style="33" bestFit="1" customWidth="1"/>
    <col min="51" max="51" width="9.42578125" style="33" bestFit="1" customWidth="1"/>
    <col min="52" max="52" width="8.5703125" style="33" bestFit="1" customWidth="1"/>
    <col min="53" max="53" width="17" style="33" bestFit="1" customWidth="1"/>
    <col min="54" max="54" width="9.42578125" style="33" bestFit="1" customWidth="1"/>
    <col min="55" max="55" width="8.5703125" style="33" bestFit="1" customWidth="1"/>
    <col min="56" max="56" width="17" style="33" bestFit="1" customWidth="1"/>
    <col min="57" max="57" width="8.42578125" style="33" bestFit="1" customWidth="1"/>
    <col min="58" max="58" width="8.5703125" style="33" bestFit="1" customWidth="1"/>
    <col min="59" max="59" width="17" style="33" bestFit="1" customWidth="1"/>
    <col min="60" max="61" width="10.5703125" style="33" bestFit="1" customWidth="1"/>
    <col min="62" max="62" width="17" style="33" bestFit="1" customWidth="1"/>
    <col min="63" max="63" width="8.42578125" style="33" bestFit="1" customWidth="1"/>
    <col min="64" max="64" width="9.42578125" style="33" bestFit="1" customWidth="1"/>
    <col min="65" max="65" width="17" style="33" bestFit="1" customWidth="1"/>
    <col min="66" max="66" width="8.42578125" style="33" bestFit="1" customWidth="1"/>
    <col min="67" max="67" width="8.5703125" style="33" bestFit="1" customWidth="1"/>
    <col min="68" max="68" width="17" style="33" bestFit="1" customWidth="1"/>
    <col min="69" max="69" width="7" style="33" bestFit="1" customWidth="1"/>
    <col min="70" max="70" width="8.5703125" style="33" bestFit="1" customWidth="1"/>
    <col min="71" max="71" width="17" style="33" bestFit="1" customWidth="1"/>
    <col min="72" max="72" width="8.5703125" style="33" bestFit="1" customWidth="1"/>
    <col min="73" max="16384" width="9.140625" style="33"/>
  </cols>
  <sheetData>
    <row r="1" spans="1:51" ht="15.75" customHeight="1" x14ac:dyDescent="0.2">
      <c r="A1" s="246" t="s">
        <v>1722</v>
      </c>
      <c r="B1" s="247"/>
      <c r="C1" s="248"/>
    </row>
    <row r="2" spans="1:51" ht="19.5" customHeight="1" thickBot="1" x14ac:dyDescent="0.3">
      <c r="A2" s="249"/>
      <c r="B2" s="250"/>
      <c r="C2" s="251"/>
      <c r="D2" s="141"/>
      <c r="F2" s="142" t="s">
        <v>1768</v>
      </c>
      <c r="H2" s="138"/>
    </row>
    <row r="3" spans="1:51" ht="13.5" thickBot="1" x14ac:dyDescent="0.25">
      <c r="AM3" s="65"/>
      <c r="AN3" s="65"/>
      <c r="AO3" s="65"/>
    </row>
    <row r="4" spans="1:51" ht="33.75" customHeight="1" x14ac:dyDescent="0.2">
      <c r="A4" s="258" t="s">
        <v>1735</v>
      </c>
      <c r="B4" s="259"/>
      <c r="C4" s="260"/>
      <c r="D4" s="264" t="s">
        <v>1724</v>
      </c>
      <c r="E4" s="266" t="s">
        <v>1457</v>
      </c>
      <c r="F4" s="268" t="s">
        <v>1725</v>
      </c>
      <c r="G4" s="266" t="s">
        <v>1457</v>
      </c>
      <c r="H4" s="256" t="s">
        <v>1726</v>
      </c>
      <c r="I4" s="255" t="s">
        <v>1706</v>
      </c>
      <c r="J4" s="254"/>
      <c r="K4" s="254"/>
      <c r="L4" s="254" t="s">
        <v>1446</v>
      </c>
      <c r="M4" s="254"/>
      <c r="N4" s="254"/>
      <c r="O4" s="254" t="s">
        <v>1447</v>
      </c>
      <c r="P4" s="254"/>
      <c r="Q4" s="254"/>
      <c r="R4" s="254" t="s">
        <v>1448</v>
      </c>
      <c r="S4" s="254"/>
      <c r="T4" s="254"/>
      <c r="U4" s="254" t="s">
        <v>1705</v>
      </c>
      <c r="V4" s="254"/>
      <c r="W4" s="254"/>
      <c r="X4" s="254" t="s">
        <v>1736</v>
      </c>
      <c r="Y4" s="254"/>
      <c r="Z4" s="254"/>
      <c r="AA4" s="254" t="s">
        <v>1449</v>
      </c>
      <c r="AB4" s="254"/>
      <c r="AC4" s="254"/>
      <c r="AD4" s="254" t="s">
        <v>1450</v>
      </c>
      <c r="AE4" s="254"/>
      <c r="AF4" s="254"/>
      <c r="AG4" s="254" t="s">
        <v>1704</v>
      </c>
      <c r="AH4" s="254"/>
      <c r="AI4" s="254"/>
      <c r="AJ4" s="254" t="s">
        <v>1451</v>
      </c>
      <c r="AK4" s="254"/>
      <c r="AL4" s="254"/>
      <c r="AM4" s="254" t="s">
        <v>1703</v>
      </c>
      <c r="AN4" s="254"/>
      <c r="AO4" s="254"/>
      <c r="AP4" s="254" t="s">
        <v>1702</v>
      </c>
      <c r="AQ4" s="254"/>
      <c r="AR4" s="254"/>
      <c r="AS4" s="254" t="s">
        <v>1453</v>
      </c>
      <c r="AT4" s="254"/>
      <c r="AU4" s="254"/>
      <c r="AV4" s="254" t="s">
        <v>1455</v>
      </c>
      <c r="AW4" s="254"/>
      <c r="AX4" s="254"/>
      <c r="AY4" s="92" t="s">
        <v>1456</v>
      </c>
    </row>
    <row r="5" spans="1:51" x14ac:dyDescent="0.2">
      <c r="A5" s="89" t="s">
        <v>1700</v>
      </c>
      <c r="B5" s="90" t="s">
        <v>1714</v>
      </c>
      <c r="C5" s="91" t="s">
        <v>1717</v>
      </c>
      <c r="D5" s="265"/>
      <c r="E5" s="267"/>
      <c r="F5" s="269"/>
      <c r="G5" s="267"/>
      <c r="H5" s="257"/>
      <c r="I5" s="85" t="s">
        <v>1699</v>
      </c>
      <c r="J5" s="74" t="s">
        <v>1698</v>
      </c>
      <c r="K5" s="75" t="s">
        <v>1697</v>
      </c>
      <c r="L5" s="73" t="s">
        <v>1699</v>
      </c>
      <c r="M5" s="74" t="s">
        <v>1698</v>
      </c>
      <c r="N5" s="75" t="s">
        <v>1697</v>
      </c>
      <c r="O5" s="73" t="s">
        <v>1699</v>
      </c>
      <c r="P5" s="74" t="s">
        <v>1698</v>
      </c>
      <c r="Q5" s="75" t="s">
        <v>1697</v>
      </c>
      <c r="R5" s="73" t="s">
        <v>1699</v>
      </c>
      <c r="S5" s="74" t="s">
        <v>1698</v>
      </c>
      <c r="T5" s="75" t="s">
        <v>1697</v>
      </c>
      <c r="U5" s="73" t="s">
        <v>1699</v>
      </c>
      <c r="V5" s="74" t="s">
        <v>1698</v>
      </c>
      <c r="W5" s="75" t="s">
        <v>1697</v>
      </c>
      <c r="X5" s="73" t="s">
        <v>1699</v>
      </c>
      <c r="Y5" s="74" t="s">
        <v>1698</v>
      </c>
      <c r="Z5" s="75" t="s">
        <v>1697</v>
      </c>
      <c r="AA5" s="73" t="s">
        <v>1699</v>
      </c>
      <c r="AB5" s="74" t="s">
        <v>1698</v>
      </c>
      <c r="AC5" s="75" t="s">
        <v>1697</v>
      </c>
      <c r="AD5" s="73" t="s">
        <v>1699</v>
      </c>
      <c r="AE5" s="74" t="s">
        <v>1698</v>
      </c>
      <c r="AF5" s="75" t="s">
        <v>1697</v>
      </c>
      <c r="AG5" s="73" t="s">
        <v>1699</v>
      </c>
      <c r="AH5" s="74" t="s">
        <v>1698</v>
      </c>
      <c r="AI5" s="75" t="s">
        <v>1697</v>
      </c>
      <c r="AJ5" s="73" t="s">
        <v>1699</v>
      </c>
      <c r="AK5" s="74" t="s">
        <v>1698</v>
      </c>
      <c r="AL5" s="75" t="s">
        <v>1697</v>
      </c>
      <c r="AM5" s="73" t="s">
        <v>1699</v>
      </c>
      <c r="AN5" s="74" t="s">
        <v>1698</v>
      </c>
      <c r="AO5" s="75" t="s">
        <v>1697</v>
      </c>
      <c r="AP5" s="73" t="s">
        <v>1699</v>
      </c>
      <c r="AQ5" s="74" t="s">
        <v>1698</v>
      </c>
      <c r="AR5" s="75" t="s">
        <v>1697</v>
      </c>
      <c r="AS5" s="73" t="s">
        <v>1699</v>
      </c>
      <c r="AT5" s="74" t="s">
        <v>1698</v>
      </c>
      <c r="AU5" s="75" t="s">
        <v>1697</v>
      </c>
      <c r="AV5" s="73" t="s">
        <v>1699</v>
      </c>
      <c r="AW5" s="74" t="s">
        <v>1698</v>
      </c>
      <c r="AX5" s="75" t="s">
        <v>1697</v>
      </c>
      <c r="AY5" s="76"/>
    </row>
    <row r="6" spans="1:51" s="244" customFormat="1" x14ac:dyDescent="0.2">
      <c r="A6" s="77"/>
      <c r="B6" s="50" t="s">
        <v>1798</v>
      </c>
      <c r="C6" s="82"/>
      <c r="D6" s="77" t="s">
        <v>693</v>
      </c>
      <c r="E6" s="53">
        <f>VLOOKUP(D6,Pcode!A:B,2,FALSE)</f>
        <v>1</v>
      </c>
      <c r="F6" s="70" t="s">
        <v>772</v>
      </c>
      <c r="G6" s="53">
        <f>VLOOKUP(F6,Pcode!C:D,2,FALSE)</f>
        <v>111</v>
      </c>
      <c r="H6" s="82"/>
      <c r="I6" s="86">
        <v>20</v>
      </c>
      <c r="J6" s="47">
        <v>250</v>
      </c>
      <c r="K6" s="47"/>
      <c r="L6" s="47"/>
      <c r="M6" s="47"/>
      <c r="N6" s="47"/>
      <c r="O6" s="47">
        <v>332</v>
      </c>
      <c r="P6" s="47">
        <v>2000</v>
      </c>
      <c r="Q6" s="47"/>
      <c r="R6" s="47"/>
      <c r="S6" s="47"/>
      <c r="T6" s="47"/>
      <c r="U6" s="47"/>
      <c r="V6" s="47">
        <v>50</v>
      </c>
      <c r="W6" s="47"/>
      <c r="X6" s="47"/>
      <c r="Y6" s="47">
        <v>1000</v>
      </c>
      <c r="Z6" s="47"/>
      <c r="AA6" s="47">
        <v>1969</v>
      </c>
      <c r="AB6" s="47">
        <v>2000</v>
      </c>
      <c r="AC6" s="47"/>
      <c r="AD6" s="47">
        <v>115</v>
      </c>
      <c r="AE6" s="47">
        <v>2000</v>
      </c>
      <c r="AF6" s="47"/>
      <c r="AG6" s="47">
        <v>100</v>
      </c>
      <c r="AH6" s="47">
        <v>2000</v>
      </c>
      <c r="AI6" s="47"/>
      <c r="AJ6" s="47"/>
      <c r="AK6" s="47"/>
      <c r="AL6" s="47"/>
      <c r="AM6" s="47">
        <v>168</v>
      </c>
      <c r="AN6" s="47">
        <v>1000</v>
      </c>
      <c r="AO6" s="47"/>
      <c r="AP6" s="47">
        <v>458</v>
      </c>
      <c r="AQ6" s="47">
        <v>2000</v>
      </c>
      <c r="AR6" s="47"/>
      <c r="AS6" s="47">
        <v>246</v>
      </c>
      <c r="AT6" s="47">
        <v>2000</v>
      </c>
      <c r="AU6" s="47"/>
      <c r="AV6" s="47">
        <v>332</v>
      </c>
      <c r="AW6" s="47">
        <v>100</v>
      </c>
      <c r="AX6" s="47"/>
      <c r="AY6" s="78" t="s">
        <v>1740</v>
      </c>
    </row>
    <row r="7" spans="1:51" s="244" customFormat="1" x14ac:dyDescent="0.2">
      <c r="A7" s="77"/>
      <c r="B7" s="50" t="s">
        <v>1798</v>
      </c>
      <c r="C7" s="82"/>
      <c r="D7" s="77" t="s">
        <v>1464</v>
      </c>
      <c r="E7" s="53">
        <f>VLOOKUP(D7,Pcode!A:B,2,FALSE)</f>
        <v>6</v>
      </c>
      <c r="F7" s="70" t="s">
        <v>1460</v>
      </c>
      <c r="G7" s="53">
        <f>VLOOKUP(F7,Pcode!C:D,2,FALSE)</f>
        <v>611</v>
      </c>
      <c r="H7" s="82"/>
      <c r="I7" s="86">
        <v>85</v>
      </c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  <c r="AA7" s="47">
        <v>1742</v>
      </c>
      <c r="AB7" s="47"/>
      <c r="AC7" s="47"/>
      <c r="AD7" s="47">
        <v>1480</v>
      </c>
      <c r="AE7" s="47"/>
      <c r="AF7" s="47"/>
      <c r="AG7" s="47">
        <v>1742</v>
      </c>
      <c r="AH7" s="47"/>
      <c r="AI7" s="47"/>
      <c r="AJ7" s="47"/>
      <c r="AK7" s="47"/>
      <c r="AL7" s="47"/>
      <c r="AM7" s="47">
        <v>131</v>
      </c>
      <c r="AN7" s="47"/>
      <c r="AO7" s="47"/>
      <c r="AP7" s="47"/>
      <c r="AQ7" s="47"/>
      <c r="AR7" s="47"/>
      <c r="AS7" s="47"/>
      <c r="AT7" s="47"/>
      <c r="AU7" s="47"/>
      <c r="AV7" s="47"/>
      <c r="AW7" s="47"/>
      <c r="AX7" s="47"/>
      <c r="AY7" s="79"/>
    </row>
    <row r="8" spans="1:51" s="244" customFormat="1" x14ac:dyDescent="0.2">
      <c r="A8" s="77"/>
      <c r="B8" s="50" t="s">
        <v>1798</v>
      </c>
      <c r="C8" s="82"/>
      <c r="D8" s="77" t="s">
        <v>696</v>
      </c>
      <c r="E8" s="53">
        <f>VLOOKUP(D8,Pcode!A:B,2,FALSE)</f>
        <v>5</v>
      </c>
      <c r="F8" s="70" t="s">
        <v>1459</v>
      </c>
      <c r="G8" s="53">
        <f>VLOOKUP(F8,Pcode!C:D,2,FALSE)</f>
        <v>511</v>
      </c>
      <c r="H8" s="82"/>
      <c r="I8" s="86"/>
      <c r="J8" s="47"/>
      <c r="K8" s="47"/>
      <c r="L8" s="47"/>
      <c r="M8" s="47"/>
      <c r="N8" s="47"/>
      <c r="O8" s="47"/>
      <c r="P8" s="47"/>
      <c r="Q8" s="47"/>
      <c r="R8" s="47"/>
      <c r="S8" s="47"/>
      <c r="T8" s="47"/>
      <c r="U8" s="47"/>
      <c r="V8" s="47"/>
      <c r="W8" s="47"/>
      <c r="X8" s="47"/>
      <c r="Y8" s="47"/>
      <c r="Z8" s="47"/>
      <c r="AA8" s="47"/>
      <c r="AB8" s="47"/>
      <c r="AC8" s="47"/>
      <c r="AD8" s="47"/>
      <c r="AE8" s="47"/>
      <c r="AF8" s="47"/>
      <c r="AG8" s="47"/>
      <c r="AH8" s="47"/>
      <c r="AI8" s="47"/>
      <c r="AJ8" s="47"/>
      <c r="AK8" s="47"/>
      <c r="AL8" s="47"/>
      <c r="AM8" s="47"/>
      <c r="AN8" s="47"/>
      <c r="AO8" s="47"/>
      <c r="AP8" s="47"/>
      <c r="AQ8" s="47"/>
      <c r="AR8" s="47"/>
      <c r="AS8" s="47"/>
      <c r="AT8" s="47"/>
      <c r="AU8" s="47"/>
      <c r="AV8" s="47"/>
      <c r="AW8" s="47"/>
      <c r="AX8" s="47"/>
      <c r="AY8" s="79"/>
    </row>
    <row r="9" spans="1:51" s="244" customFormat="1" x14ac:dyDescent="0.2">
      <c r="A9" s="77"/>
      <c r="B9" s="50" t="s">
        <v>1798</v>
      </c>
      <c r="C9" s="82"/>
      <c r="D9" s="77" t="s">
        <v>695</v>
      </c>
      <c r="E9" s="53">
        <f>VLOOKUP(D9,Pcode!A:B,2,FALSE)</f>
        <v>4</v>
      </c>
      <c r="F9" s="70" t="s">
        <v>1458</v>
      </c>
      <c r="G9" s="53">
        <f>VLOOKUP(F9,Pcode!C:D,2,FALSE)</f>
        <v>411</v>
      </c>
      <c r="H9" s="82"/>
      <c r="I9" s="86">
        <v>5</v>
      </c>
      <c r="J9" s="47"/>
      <c r="K9" s="47"/>
      <c r="L9" s="47"/>
      <c r="M9" s="47"/>
      <c r="N9" s="47"/>
      <c r="O9" s="47"/>
      <c r="P9" s="47"/>
      <c r="Q9" s="47"/>
      <c r="R9" s="47"/>
      <c r="S9" s="47"/>
      <c r="T9" s="47"/>
      <c r="U9" s="47"/>
      <c r="V9" s="47"/>
      <c r="W9" s="47"/>
      <c r="X9" s="47"/>
      <c r="Y9" s="47"/>
      <c r="Z9" s="47"/>
      <c r="AA9" s="47"/>
      <c r="AB9" s="47"/>
      <c r="AC9" s="47"/>
      <c r="AD9" s="47"/>
      <c r="AE9" s="47"/>
      <c r="AF9" s="47"/>
      <c r="AG9" s="47"/>
      <c r="AH9" s="47"/>
      <c r="AI9" s="47"/>
      <c r="AJ9" s="47"/>
      <c r="AK9" s="47"/>
      <c r="AL9" s="47"/>
      <c r="AM9" s="47"/>
      <c r="AN9" s="47"/>
      <c r="AO9" s="47"/>
      <c r="AP9" s="47"/>
      <c r="AQ9" s="47"/>
      <c r="AR9" s="47"/>
      <c r="AS9" s="47"/>
      <c r="AT9" s="47"/>
      <c r="AU9" s="47"/>
      <c r="AV9" s="47"/>
      <c r="AW9" s="47"/>
      <c r="AX9" s="47"/>
      <c r="AY9" s="49"/>
    </row>
    <row r="10" spans="1:51" s="244" customFormat="1" x14ac:dyDescent="0.2">
      <c r="A10" s="77"/>
      <c r="B10" s="50" t="s">
        <v>1798</v>
      </c>
      <c r="C10" s="82"/>
      <c r="D10" s="77" t="s">
        <v>694</v>
      </c>
      <c r="E10" s="53">
        <f>VLOOKUP(D10,Pcode!A:B,2,FALSE)</f>
        <v>2</v>
      </c>
      <c r="F10" s="70" t="s">
        <v>773</v>
      </c>
      <c r="G10" s="53">
        <f>VLOOKUP(F10,Pcode!C:D,2,FALSE)</f>
        <v>211</v>
      </c>
      <c r="H10" s="82"/>
      <c r="I10" s="86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7"/>
      <c r="AS10" s="47"/>
      <c r="AT10" s="47"/>
      <c r="AU10" s="47"/>
      <c r="AV10" s="47"/>
      <c r="AW10" s="47"/>
      <c r="AX10" s="47"/>
      <c r="AY10" s="79"/>
    </row>
    <row r="11" spans="1:51" s="244" customFormat="1" x14ac:dyDescent="0.2">
      <c r="A11" s="80"/>
      <c r="B11" s="50" t="s">
        <v>1540</v>
      </c>
      <c r="C11" s="83"/>
      <c r="D11" s="80" t="s">
        <v>693</v>
      </c>
      <c r="E11" s="53">
        <f>VLOOKUP(D11,Pcode!A:B,2,FALSE)</f>
        <v>1</v>
      </c>
      <c r="F11" s="70" t="s">
        <v>772</v>
      </c>
      <c r="G11" s="53">
        <f>VLOOKUP(F11,Pcode!C:D,2,FALSE)</f>
        <v>111</v>
      </c>
      <c r="H11" s="82"/>
      <c r="I11" s="87"/>
      <c r="J11" s="55"/>
      <c r="K11" s="55"/>
      <c r="L11" s="55"/>
      <c r="M11" s="55"/>
      <c r="N11" s="55"/>
      <c r="O11" s="55"/>
      <c r="P11" s="55"/>
      <c r="Q11" s="55"/>
      <c r="R11" s="55"/>
      <c r="S11" s="55"/>
      <c r="T11" s="55"/>
      <c r="U11" s="55"/>
      <c r="V11" s="55"/>
      <c r="W11" s="55"/>
      <c r="X11" s="55">
        <v>1282</v>
      </c>
      <c r="Y11" s="55"/>
      <c r="Z11" s="55"/>
      <c r="AA11" s="55">
        <v>1282</v>
      </c>
      <c r="AB11" s="55"/>
      <c r="AC11" s="55"/>
      <c r="AD11" s="55">
        <v>1282</v>
      </c>
      <c r="AE11" s="55"/>
      <c r="AF11" s="55"/>
      <c r="AG11" s="55"/>
      <c r="AH11" s="55"/>
      <c r="AI11" s="55"/>
      <c r="AJ11" s="55"/>
      <c r="AK11" s="55"/>
      <c r="AL11" s="55"/>
      <c r="AM11" s="55">
        <v>641</v>
      </c>
      <c r="AN11" s="55"/>
      <c r="AO11" s="55"/>
      <c r="AP11" s="55">
        <v>1282</v>
      </c>
      <c r="AQ11" s="55"/>
      <c r="AR11" s="55"/>
      <c r="AS11" s="55">
        <v>1282</v>
      </c>
      <c r="AT11" s="55"/>
      <c r="AU11" s="55"/>
      <c r="AV11" s="55"/>
      <c r="AW11" s="55"/>
      <c r="AX11" s="55"/>
      <c r="AY11" s="81" t="s">
        <v>1733</v>
      </c>
    </row>
    <row r="12" spans="1:51" x14ac:dyDescent="0.2">
      <c r="A12" s="77"/>
      <c r="B12" s="50" t="s">
        <v>1631</v>
      </c>
      <c r="C12" s="84" t="s">
        <v>1732</v>
      </c>
      <c r="D12" s="77" t="s">
        <v>693</v>
      </c>
      <c r="E12" s="53">
        <f>VLOOKUP(D12,Pcode!A:B,2,FALSE)</f>
        <v>1</v>
      </c>
      <c r="F12" s="70" t="s">
        <v>772</v>
      </c>
      <c r="G12" s="53">
        <f>VLOOKUP(F12,Pcode!C:D,2,FALSE)</f>
        <v>111</v>
      </c>
      <c r="H12" s="82"/>
      <c r="I12" s="86">
        <v>203</v>
      </c>
      <c r="J12" s="47"/>
      <c r="K12" s="47"/>
      <c r="L12" s="47"/>
      <c r="M12" s="47"/>
      <c r="N12" s="47"/>
      <c r="O12" s="47"/>
      <c r="P12" s="47"/>
      <c r="Q12" s="47"/>
      <c r="R12" s="47"/>
      <c r="S12" s="47"/>
      <c r="T12" s="47"/>
      <c r="U12" s="47"/>
      <c r="V12" s="47"/>
      <c r="W12" s="47"/>
      <c r="X12" s="47"/>
      <c r="Y12" s="47"/>
      <c r="Z12" s="47"/>
      <c r="AA12" s="47"/>
      <c r="AB12" s="47"/>
      <c r="AC12" s="47"/>
      <c r="AD12" s="47"/>
      <c r="AE12" s="47"/>
      <c r="AF12" s="47"/>
      <c r="AG12" s="47"/>
      <c r="AH12" s="47"/>
      <c r="AI12" s="47"/>
      <c r="AJ12" s="47"/>
      <c r="AK12" s="47"/>
      <c r="AL12" s="47"/>
      <c r="AM12" s="47"/>
      <c r="AN12" s="47"/>
      <c r="AO12" s="47"/>
      <c r="AP12" s="47"/>
      <c r="AQ12" s="47"/>
      <c r="AR12" s="47"/>
      <c r="AS12" s="47"/>
      <c r="AT12" s="47"/>
      <c r="AU12" s="47"/>
      <c r="AV12" s="47"/>
      <c r="AW12" s="47"/>
      <c r="AX12" s="47"/>
      <c r="AY12" s="78" t="s">
        <v>1764</v>
      </c>
    </row>
    <row r="13" spans="1:51" x14ac:dyDescent="0.2">
      <c r="A13" s="77"/>
      <c r="B13" s="50" t="s">
        <v>1637</v>
      </c>
      <c r="C13" s="84" t="s">
        <v>1642</v>
      </c>
      <c r="D13" s="77" t="s">
        <v>693</v>
      </c>
      <c r="E13" s="53">
        <f>VLOOKUP(D13,Pcode!A:B,2,FALSE)</f>
        <v>1</v>
      </c>
      <c r="F13" s="70" t="s">
        <v>772</v>
      </c>
      <c r="G13" s="53">
        <f>VLOOKUP(F13,Pcode!C:D,2,FALSE)</f>
        <v>111</v>
      </c>
      <c r="H13" s="82"/>
      <c r="I13" s="86"/>
      <c r="J13" s="47">
        <v>760</v>
      </c>
      <c r="K13" s="47"/>
      <c r="L13" s="47"/>
      <c r="M13" s="47"/>
      <c r="N13" s="47"/>
      <c r="O13" s="47"/>
      <c r="P13" s="47"/>
      <c r="Q13" s="47"/>
      <c r="R13" s="47">
        <v>55</v>
      </c>
      <c r="S13" s="47"/>
      <c r="T13" s="47"/>
      <c r="U13" s="47"/>
      <c r="V13" s="47">
        <v>180</v>
      </c>
      <c r="W13" s="47"/>
      <c r="X13" s="47">
        <v>1136</v>
      </c>
      <c r="Y13" s="47">
        <v>1000</v>
      </c>
      <c r="Z13" s="47"/>
      <c r="AA13" s="55"/>
      <c r="AB13" s="55">
        <v>27000</v>
      </c>
      <c r="AC13" s="55"/>
      <c r="AD13" s="55"/>
      <c r="AE13" s="55">
        <v>18000</v>
      </c>
      <c r="AF13" s="55"/>
      <c r="AG13" s="55"/>
      <c r="AH13" s="55"/>
      <c r="AI13" s="55"/>
      <c r="AJ13" s="55"/>
      <c r="AK13" s="55"/>
      <c r="AL13" s="55"/>
      <c r="AM13" s="55"/>
      <c r="AN13" s="55">
        <v>9000</v>
      </c>
      <c r="AO13" s="55"/>
      <c r="AP13" s="47">
        <v>1300</v>
      </c>
      <c r="AQ13" s="47">
        <v>18000</v>
      </c>
      <c r="AR13" s="47"/>
      <c r="AS13" s="47"/>
      <c r="AT13" s="47"/>
      <c r="AU13" s="47"/>
      <c r="AV13" s="47"/>
      <c r="AW13" s="47"/>
      <c r="AX13" s="47"/>
      <c r="AY13" s="78" t="s">
        <v>1696</v>
      </c>
    </row>
    <row r="14" spans="1:51" s="244" customFormat="1" x14ac:dyDescent="0.2">
      <c r="A14" s="80"/>
      <c r="B14" s="239" t="s">
        <v>1480</v>
      </c>
      <c r="C14" s="245" t="s">
        <v>1732</v>
      </c>
      <c r="D14" s="238" t="s">
        <v>693</v>
      </c>
      <c r="E14" s="240">
        <f>VLOOKUP(D14,Pcode!A:B,2,FALSE)</f>
        <v>1</v>
      </c>
      <c r="F14" s="241" t="s">
        <v>772</v>
      </c>
      <c r="G14" s="240">
        <f>VLOOKUP(F14,Pcode!C:D,2,FALSE)</f>
        <v>111</v>
      </c>
      <c r="H14" s="82"/>
      <c r="I14" s="242">
        <v>15</v>
      </c>
      <c r="J14" s="243">
        <v>8</v>
      </c>
      <c r="K14" s="55"/>
      <c r="L14" s="55"/>
      <c r="M14" s="55"/>
      <c r="N14" s="55"/>
      <c r="O14" s="243"/>
      <c r="P14" s="243">
        <v>2000</v>
      </c>
      <c r="Q14" s="55"/>
      <c r="R14" s="243"/>
      <c r="S14" s="55"/>
      <c r="T14" s="243"/>
      <c r="U14" s="243"/>
      <c r="V14" s="243">
        <v>20</v>
      </c>
      <c r="W14" s="243"/>
      <c r="X14" s="243">
        <v>1368</v>
      </c>
      <c r="Y14" s="243">
        <v>2000</v>
      </c>
      <c r="Z14" s="55"/>
      <c r="AA14" s="243">
        <v>106</v>
      </c>
      <c r="AB14" s="243">
        <v>9000</v>
      </c>
      <c r="AC14" s="55"/>
      <c r="AD14" s="243">
        <v>2841</v>
      </c>
      <c r="AE14" s="243">
        <v>8000</v>
      </c>
      <c r="AF14" s="55"/>
      <c r="AG14" s="243">
        <v>72718</v>
      </c>
      <c r="AH14" s="243">
        <v>18000</v>
      </c>
      <c r="AI14" s="55"/>
      <c r="AJ14" s="55"/>
      <c r="AK14" s="55"/>
      <c r="AL14" s="55"/>
      <c r="AM14" s="243">
        <v>3390</v>
      </c>
      <c r="AN14" s="55"/>
      <c r="AO14" s="55"/>
      <c r="AP14" s="243">
        <v>1612</v>
      </c>
      <c r="AQ14" s="243">
        <v>40000</v>
      </c>
      <c r="AR14" s="55"/>
      <c r="AS14" s="243">
        <v>4463</v>
      </c>
      <c r="AT14" s="243">
        <v>9000</v>
      </c>
      <c r="AU14" s="55"/>
      <c r="AV14" s="55"/>
      <c r="AW14" s="55"/>
      <c r="AX14" s="55"/>
      <c r="AY14" s="82" t="s">
        <v>1739</v>
      </c>
    </row>
    <row r="15" spans="1:51" x14ac:dyDescent="0.2">
      <c r="A15" s="80"/>
      <c r="B15" s="50"/>
      <c r="C15" s="84"/>
      <c r="D15" s="80"/>
      <c r="E15" s="53" t="e">
        <f>VLOOKUP(D15,Pcode!A:B,2,FALSE)</f>
        <v>#N/A</v>
      </c>
      <c r="F15" s="70"/>
      <c r="G15" s="53" t="e">
        <f>VLOOKUP(F15,Pcode!C:D,2,FALSE)</f>
        <v>#N/A</v>
      </c>
      <c r="H15" s="82"/>
      <c r="I15" s="87"/>
      <c r="J15" s="55"/>
      <c r="K15" s="55"/>
      <c r="L15" s="55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  <c r="Z15" s="55"/>
      <c r="AA15" s="55"/>
      <c r="AB15" s="55"/>
      <c r="AC15" s="55"/>
      <c r="AD15" s="55"/>
      <c r="AE15" s="55"/>
      <c r="AF15" s="55"/>
      <c r="AG15" s="55"/>
      <c r="AH15" s="55"/>
      <c r="AI15" s="55"/>
      <c r="AJ15" s="55"/>
      <c r="AK15" s="55"/>
      <c r="AL15" s="55"/>
      <c r="AM15" s="55"/>
      <c r="AN15" s="55"/>
      <c r="AO15" s="55"/>
      <c r="AP15" s="55"/>
      <c r="AQ15" s="55"/>
      <c r="AR15" s="55"/>
      <c r="AS15" s="55"/>
      <c r="AT15" s="55"/>
      <c r="AU15" s="55"/>
      <c r="AV15" s="55"/>
      <c r="AW15" s="55"/>
      <c r="AX15" s="55"/>
      <c r="AY15" s="78"/>
    </row>
    <row r="16" spans="1:51" x14ac:dyDescent="0.2">
      <c r="A16" s="80"/>
      <c r="B16" s="69"/>
      <c r="C16" s="84"/>
      <c r="D16" s="80"/>
      <c r="E16" s="53" t="e">
        <f>VLOOKUP(D16,Pcode!A:B,2,FALSE)</f>
        <v>#N/A</v>
      </c>
      <c r="F16" s="70"/>
      <c r="G16" s="53" t="e">
        <f>VLOOKUP(F16,Pcode!C:D,2,FALSE)</f>
        <v>#N/A</v>
      </c>
      <c r="H16" s="82"/>
      <c r="I16" s="87"/>
      <c r="J16" s="55"/>
      <c r="K16" s="55"/>
      <c r="L16" s="55"/>
      <c r="M16" s="55"/>
      <c r="N16" s="55"/>
      <c r="O16" s="55"/>
      <c r="P16" s="55"/>
      <c r="Q16" s="55"/>
      <c r="R16" s="55"/>
      <c r="S16" s="55"/>
      <c r="T16" s="55"/>
      <c r="U16" s="55"/>
      <c r="V16" s="55"/>
      <c r="W16" s="55"/>
      <c r="X16" s="55"/>
      <c r="Y16" s="55"/>
      <c r="Z16" s="55"/>
      <c r="AA16" s="55"/>
      <c r="AB16" s="55"/>
      <c r="AC16" s="55"/>
      <c r="AD16" s="55"/>
      <c r="AE16" s="55"/>
      <c r="AF16" s="55"/>
      <c r="AG16" s="55"/>
      <c r="AH16" s="55"/>
      <c r="AI16" s="55"/>
      <c r="AJ16" s="55"/>
      <c r="AK16" s="55"/>
      <c r="AL16" s="55"/>
      <c r="AM16" s="55"/>
      <c r="AN16" s="55"/>
      <c r="AO16" s="55"/>
      <c r="AP16" s="55"/>
      <c r="AQ16" s="55"/>
      <c r="AR16" s="55"/>
      <c r="AS16" s="55"/>
      <c r="AT16" s="55"/>
      <c r="AU16" s="55"/>
      <c r="AV16" s="55"/>
      <c r="AW16" s="55"/>
      <c r="AX16" s="55"/>
      <c r="AY16" s="78"/>
    </row>
    <row r="17" spans="1:51" x14ac:dyDescent="0.2">
      <c r="A17" s="80"/>
      <c r="B17" s="69"/>
      <c r="C17" s="84"/>
      <c r="D17" s="80"/>
      <c r="E17" s="53" t="e">
        <f>VLOOKUP(D17,Pcode!A:B,2,FALSE)</f>
        <v>#N/A</v>
      </c>
      <c r="F17" s="70"/>
      <c r="G17" s="53" t="e">
        <f>VLOOKUP(F17,Pcode!C:D,2,FALSE)</f>
        <v>#N/A</v>
      </c>
      <c r="H17" s="82"/>
      <c r="I17" s="87"/>
      <c r="J17" s="55"/>
      <c r="K17" s="55"/>
      <c r="L17" s="55"/>
      <c r="M17" s="55"/>
      <c r="N17" s="55"/>
      <c r="O17" s="55"/>
      <c r="P17" s="55"/>
      <c r="Q17" s="55"/>
      <c r="R17" s="55"/>
      <c r="S17" s="55"/>
      <c r="T17" s="55"/>
      <c r="U17" s="55"/>
      <c r="V17" s="55"/>
      <c r="W17" s="55"/>
      <c r="X17" s="55"/>
      <c r="Y17" s="55"/>
      <c r="Z17" s="55"/>
      <c r="AA17" s="55"/>
      <c r="AB17" s="55"/>
      <c r="AC17" s="55"/>
      <c r="AD17" s="55"/>
      <c r="AE17" s="55"/>
      <c r="AF17" s="55"/>
      <c r="AG17" s="55"/>
      <c r="AH17" s="55"/>
      <c r="AI17" s="55"/>
      <c r="AJ17" s="55"/>
      <c r="AK17" s="55"/>
      <c r="AL17" s="55"/>
      <c r="AM17" s="55"/>
      <c r="AN17" s="55"/>
      <c r="AO17" s="55"/>
      <c r="AP17" s="55"/>
      <c r="AQ17" s="55"/>
      <c r="AR17" s="55"/>
      <c r="AS17" s="55"/>
      <c r="AT17" s="55"/>
      <c r="AU17" s="55"/>
      <c r="AV17" s="55"/>
      <c r="AW17" s="55"/>
      <c r="AX17" s="55"/>
      <c r="AY17" s="78"/>
    </row>
    <row r="18" spans="1:51" x14ac:dyDescent="0.2">
      <c r="A18" s="80"/>
      <c r="B18" s="69"/>
      <c r="C18" s="84"/>
      <c r="D18" s="80"/>
      <c r="E18" s="53" t="e">
        <f>VLOOKUP(D18,Pcode!A:B,2,FALSE)</f>
        <v>#N/A</v>
      </c>
      <c r="F18" s="70"/>
      <c r="G18" s="53" t="e">
        <f>VLOOKUP(F18,Pcode!C:D,2,FALSE)</f>
        <v>#N/A</v>
      </c>
      <c r="H18" s="82"/>
      <c r="I18" s="87"/>
      <c r="J18" s="55"/>
      <c r="K18" s="55"/>
      <c r="L18" s="55"/>
      <c r="M18" s="55"/>
      <c r="N18" s="55"/>
      <c r="O18" s="55"/>
      <c r="P18" s="55"/>
      <c r="Q18" s="55"/>
      <c r="R18" s="55"/>
      <c r="S18" s="55"/>
      <c r="T18" s="55"/>
      <c r="U18" s="55"/>
      <c r="V18" s="55"/>
      <c r="W18" s="55"/>
      <c r="X18" s="55"/>
      <c r="Y18" s="55"/>
      <c r="Z18" s="55"/>
      <c r="AA18" s="55"/>
      <c r="AB18" s="55"/>
      <c r="AC18" s="55"/>
      <c r="AD18" s="55"/>
      <c r="AE18" s="55"/>
      <c r="AF18" s="55"/>
      <c r="AG18" s="55"/>
      <c r="AH18" s="55"/>
      <c r="AI18" s="55"/>
      <c r="AJ18" s="55"/>
      <c r="AK18" s="55"/>
      <c r="AL18" s="55"/>
      <c r="AM18" s="55"/>
      <c r="AN18" s="55"/>
      <c r="AO18" s="55"/>
      <c r="AP18" s="55"/>
      <c r="AQ18" s="55"/>
      <c r="AR18" s="55"/>
      <c r="AS18" s="55"/>
      <c r="AT18" s="55"/>
      <c r="AU18" s="55"/>
      <c r="AV18" s="55"/>
      <c r="AW18" s="55"/>
      <c r="AX18" s="55"/>
      <c r="AY18" s="78"/>
    </row>
    <row r="19" spans="1:51" x14ac:dyDescent="0.2">
      <c r="A19" s="80"/>
      <c r="B19" s="69"/>
      <c r="C19" s="84"/>
      <c r="D19" s="80"/>
      <c r="E19" s="53" t="e">
        <f>VLOOKUP(D19,Pcode!A:B,2,FALSE)</f>
        <v>#N/A</v>
      </c>
      <c r="F19" s="70"/>
      <c r="G19" s="53" t="e">
        <f>VLOOKUP(F19,Pcode!C:D,2,FALSE)</f>
        <v>#N/A</v>
      </c>
      <c r="H19" s="82"/>
      <c r="I19" s="87"/>
      <c r="J19" s="55"/>
      <c r="K19" s="55"/>
      <c r="L19" s="55"/>
      <c r="M19" s="55"/>
      <c r="N19" s="55"/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55"/>
      <c r="AA19" s="55"/>
      <c r="AB19" s="55"/>
      <c r="AC19" s="55"/>
      <c r="AD19" s="55"/>
      <c r="AE19" s="55"/>
      <c r="AF19" s="55"/>
      <c r="AG19" s="55"/>
      <c r="AH19" s="55"/>
      <c r="AI19" s="55"/>
      <c r="AJ19" s="55"/>
      <c r="AK19" s="55"/>
      <c r="AL19" s="55"/>
      <c r="AM19" s="55"/>
      <c r="AN19" s="55"/>
      <c r="AO19" s="55"/>
      <c r="AP19" s="55"/>
      <c r="AQ19" s="55"/>
      <c r="AR19" s="55"/>
      <c r="AS19" s="55"/>
      <c r="AT19" s="55"/>
      <c r="AU19" s="55"/>
      <c r="AV19" s="55"/>
      <c r="AW19" s="55"/>
      <c r="AX19" s="55"/>
      <c r="AY19" s="78"/>
    </row>
    <row r="20" spans="1:51" x14ac:dyDescent="0.2">
      <c r="A20" s="80"/>
      <c r="B20" s="69"/>
      <c r="C20" s="84"/>
      <c r="D20" s="80"/>
      <c r="E20" s="53" t="e">
        <f>VLOOKUP(D20,Pcode!A:B,2,FALSE)</f>
        <v>#N/A</v>
      </c>
      <c r="F20" s="70"/>
      <c r="G20" s="53" t="e">
        <f>VLOOKUP(F20,Pcode!C:D,2,FALSE)</f>
        <v>#N/A</v>
      </c>
      <c r="H20" s="82"/>
      <c r="I20" s="87"/>
      <c r="J20" s="55"/>
      <c r="K20" s="55"/>
      <c r="L20" s="55"/>
      <c r="M20" s="55"/>
      <c r="N20" s="55"/>
      <c r="O20" s="55"/>
      <c r="P20" s="55"/>
      <c r="Q20" s="55"/>
      <c r="R20" s="55"/>
      <c r="S20" s="55"/>
      <c r="T20" s="55"/>
      <c r="U20" s="55"/>
      <c r="V20" s="55"/>
      <c r="W20" s="55"/>
      <c r="X20" s="55"/>
      <c r="Y20" s="55"/>
      <c r="Z20" s="55"/>
      <c r="AA20" s="55"/>
      <c r="AB20" s="55"/>
      <c r="AC20" s="55"/>
      <c r="AD20" s="55"/>
      <c r="AE20" s="55"/>
      <c r="AF20" s="55"/>
      <c r="AG20" s="55"/>
      <c r="AH20" s="55"/>
      <c r="AI20" s="55"/>
      <c r="AJ20" s="55"/>
      <c r="AK20" s="55"/>
      <c r="AL20" s="55"/>
      <c r="AM20" s="55"/>
      <c r="AN20" s="55"/>
      <c r="AO20" s="55"/>
      <c r="AP20" s="55"/>
      <c r="AQ20" s="55"/>
      <c r="AR20" s="55"/>
      <c r="AS20" s="55"/>
      <c r="AT20" s="55"/>
      <c r="AU20" s="55"/>
      <c r="AV20" s="55"/>
      <c r="AW20" s="55"/>
      <c r="AX20" s="55"/>
      <c r="AY20" s="78"/>
    </row>
    <row r="21" spans="1:51" x14ac:dyDescent="0.2">
      <c r="A21" s="80"/>
      <c r="B21" s="69"/>
      <c r="C21" s="84"/>
      <c r="D21" s="80"/>
      <c r="E21" s="53" t="e">
        <f>VLOOKUP(D21,Pcode!A:B,2,FALSE)</f>
        <v>#N/A</v>
      </c>
      <c r="F21" s="70"/>
      <c r="G21" s="53" t="e">
        <f>VLOOKUP(F21,Pcode!C:D,2,FALSE)</f>
        <v>#N/A</v>
      </c>
      <c r="H21" s="82"/>
      <c r="I21" s="87"/>
      <c r="J21" s="55"/>
      <c r="K21" s="55"/>
      <c r="L21" s="55"/>
      <c r="M21" s="55"/>
      <c r="N21" s="55"/>
      <c r="O21" s="55"/>
      <c r="P21" s="55"/>
      <c r="Q21" s="55"/>
      <c r="R21" s="55"/>
      <c r="S21" s="55"/>
      <c r="T21" s="55"/>
      <c r="U21" s="55"/>
      <c r="V21" s="55"/>
      <c r="W21" s="55"/>
      <c r="X21" s="55"/>
      <c r="Y21" s="55"/>
      <c r="Z21" s="55"/>
      <c r="AA21" s="55"/>
      <c r="AB21" s="55"/>
      <c r="AC21" s="55"/>
      <c r="AD21" s="55"/>
      <c r="AE21" s="55"/>
      <c r="AF21" s="55"/>
      <c r="AG21" s="55"/>
      <c r="AH21" s="55"/>
      <c r="AI21" s="55"/>
      <c r="AJ21" s="55"/>
      <c r="AK21" s="55"/>
      <c r="AL21" s="55"/>
      <c r="AM21" s="55"/>
      <c r="AN21" s="55"/>
      <c r="AO21" s="55"/>
      <c r="AP21" s="55"/>
      <c r="AQ21" s="55"/>
      <c r="AR21" s="55"/>
      <c r="AS21" s="55"/>
      <c r="AT21" s="55"/>
      <c r="AU21" s="55"/>
      <c r="AV21" s="55"/>
      <c r="AW21" s="55"/>
      <c r="AX21" s="55"/>
      <c r="AY21" s="78"/>
    </row>
    <row r="22" spans="1:51" x14ac:dyDescent="0.2">
      <c r="A22" s="80"/>
      <c r="B22" s="69"/>
      <c r="C22" s="84"/>
      <c r="D22" s="80"/>
      <c r="E22" s="53" t="e">
        <f>VLOOKUP(D22,Pcode!A:B,2,FALSE)</f>
        <v>#N/A</v>
      </c>
      <c r="F22" s="70"/>
      <c r="G22" s="53" t="e">
        <f>VLOOKUP(F22,Pcode!C:D,2,FALSE)</f>
        <v>#N/A</v>
      </c>
      <c r="H22" s="82"/>
      <c r="I22" s="87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5"/>
      <c r="V22" s="55"/>
      <c r="W22" s="55"/>
      <c r="X22" s="55"/>
      <c r="Y22" s="55"/>
      <c r="Z22" s="55"/>
      <c r="AA22" s="55"/>
      <c r="AB22" s="55"/>
      <c r="AC22" s="55"/>
      <c r="AD22" s="55"/>
      <c r="AE22" s="55"/>
      <c r="AF22" s="55"/>
      <c r="AG22" s="55"/>
      <c r="AH22" s="55"/>
      <c r="AI22" s="55"/>
      <c r="AJ22" s="55"/>
      <c r="AK22" s="55"/>
      <c r="AL22" s="55"/>
      <c r="AM22" s="55"/>
      <c r="AN22" s="55"/>
      <c r="AO22" s="55"/>
      <c r="AP22" s="55"/>
      <c r="AQ22" s="55"/>
      <c r="AR22" s="55"/>
      <c r="AS22" s="55"/>
      <c r="AT22" s="55"/>
      <c r="AU22" s="55"/>
      <c r="AV22" s="55"/>
      <c r="AW22" s="55"/>
      <c r="AX22" s="55"/>
      <c r="AY22" s="78"/>
    </row>
    <row r="23" spans="1:51" x14ac:dyDescent="0.2">
      <c r="A23" s="80"/>
      <c r="B23" s="69"/>
      <c r="C23" s="84"/>
      <c r="D23" s="80"/>
      <c r="E23" s="53" t="e">
        <f>VLOOKUP(D23,Pcode!A:B,2,FALSE)</f>
        <v>#N/A</v>
      </c>
      <c r="F23" s="70"/>
      <c r="G23" s="53" t="e">
        <f>VLOOKUP(F23,Pcode!C:D,2,FALSE)</f>
        <v>#N/A</v>
      </c>
      <c r="H23" s="82"/>
      <c r="I23" s="87"/>
      <c r="J23" s="55"/>
      <c r="K23" s="55"/>
      <c r="L23" s="55"/>
      <c r="M23" s="55"/>
      <c r="N23" s="55"/>
      <c r="O23" s="55"/>
      <c r="P23" s="55"/>
      <c r="Q23" s="55"/>
      <c r="R23" s="55"/>
      <c r="S23" s="55"/>
      <c r="T23" s="55"/>
      <c r="U23" s="55"/>
      <c r="V23" s="55"/>
      <c r="W23" s="55"/>
      <c r="X23" s="55"/>
      <c r="Y23" s="55"/>
      <c r="Z23" s="55"/>
      <c r="AA23" s="55"/>
      <c r="AB23" s="55"/>
      <c r="AC23" s="55"/>
      <c r="AD23" s="55"/>
      <c r="AE23" s="55"/>
      <c r="AF23" s="55"/>
      <c r="AG23" s="55"/>
      <c r="AH23" s="55"/>
      <c r="AI23" s="55"/>
      <c r="AJ23" s="55"/>
      <c r="AK23" s="55"/>
      <c r="AL23" s="55"/>
      <c r="AM23" s="55"/>
      <c r="AN23" s="55"/>
      <c r="AO23" s="55"/>
      <c r="AP23" s="55"/>
      <c r="AQ23" s="55"/>
      <c r="AR23" s="55"/>
      <c r="AS23" s="55"/>
      <c r="AT23" s="55"/>
      <c r="AU23" s="55"/>
      <c r="AV23" s="55"/>
      <c r="AW23" s="55"/>
      <c r="AX23" s="55"/>
      <c r="AY23" s="78"/>
    </row>
    <row r="24" spans="1:51" x14ac:dyDescent="0.2">
      <c r="A24" s="80"/>
      <c r="B24" s="69"/>
      <c r="C24" s="84"/>
      <c r="D24" s="80"/>
      <c r="E24" s="53" t="e">
        <f>VLOOKUP(D24,Pcode!A:B,2,FALSE)</f>
        <v>#N/A</v>
      </c>
      <c r="F24" s="70"/>
      <c r="G24" s="53" t="e">
        <f>VLOOKUP(F24,Pcode!C:D,2,FALSE)</f>
        <v>#N/A</v>
      </c>
      <c r="H24" s="82"/>
      <c r="I24" s="87"/>
      <c r="J24" s="55"/>
      <c r="K24" s="55"/>
      <c r="L24" s="55"/>
      <c r="M24" s="55"/>
      <c r="N24" s="55"/>
      <c r="O24" s="55"/>
      <c r="P24" s="55"/>
      <c r="Q24" s="55"/>
      <c r="R24" s="55"/>
      <c r="S24" s="55"/>
      <c r="T24" s="55"/>
      <c r="U24" s="55"/>
      <c r="V24" s="55"/>
      <c r="W24" s="55"/>
      <c r="X24" s="55"/>
      <c r="Y24" s="55"/>
      <c r="Z24" s="55"/>
      <c r="AA24" s="55"/>
      <c r="AB24" s="55"/>
      <c r="AC24" s="55"/>
      <c r="AD24" s="55"/>
      <c r="AE24" s="55"/>
      <c r="AF24" s="55"/>
      <c r="AG24" s="55"/>
      <c r="AH24" s="55"/>
      <c r="AI24" s="55"/>
      <c r="AJ24" s="55"/>
      <c r="AK24" s="55"/>
      <c r="AL24" s="55"/>
      <c r="AM24" s="55"/>
      <c r="AN24" s="55"/>
      <c r="AO24" s="55"/>
      <c r="AP24" s="55"/>
      <c r="AQ24" s="55"/>
      <c r="AR24" s="55"/>
      <c r="AS24" s="55"/>
      <c r="AT24" s="55"/>
      <c r="AU24" s="55"/>
      <c r="AV24" s="55"/>
      <c r="AW24" s="55"/>
      <c r="AX24" s="55"/>
      <c r="AY24" s="78"/>
    </row>
    <row r="25" spans="1:51" ht="13.5" thickBot="1" x14ac:dyDescent="0.25">
      <c r="A25" s="261" t="s">
        <v>1695</v>
      </c>
      <c r="B25" s="262"/>
      <c r="C25" s="262"/>
      <c r="D25" s="262"/>
      <c r="E25" s="262"/>
      <c r="F25" s="262"/>
      <c r="G25" s="262"/>
      <c r="H25" s="263"/>
      <c r="I25" s="93">
        <f>SUM(I6:I24)</f>
        <v>328</v>
      </c>
      <c r="J25" s="93">
        <f t="shared" ref="J25:AX25" si="0">SUM(J6:J24)</f>
        <v>1018</v>
      </c>
      <c r="K25" s="93">
        <f t="shared" si="0"/>
        <v>0</v>
      </c>
      <c r="L25" s="93">
        <f t="shared" si="0"/>
        <v>0</v>
      </c>
      <c r="M25" s="93">
        <f t="shared" si="0"/>
        <v>0</v>
      </c>
      <c r="N25" s="93">
        <f t="shared" si="0"/>
        <v>0</v>
      </c>
      <c r="O25" s="93">
        <f t="shared" si="0"/>
        <v>332</v>
      </c>
      <c r="P25" s="93">
        <f t="shared" si="0"/>
        <v>4000</v>
      </c>
      <c r="Q25" s="93">
        <f t="shared" si="0"/>
        <v>0</v>
      </c>
      <c r="R25" s="93">
        <f t="shared" si="0"/>
        <v>55</v>
      </c>
      <c r="S25" s="93">
        <f t="shared" si="0"/>
        <v>0</v>
      </c>
      <c r="T25" s="93">
        <f t="shared" si="0"/>
        <v>0</v>
      </c>
      <c r="U25" s="93">
        <f t="shared" si="0"/>
        <v>0</v>
      </c>
      <c r="V25" s="93">
        <f t="shared" si="0"/>
        <v>250</v>
      </c>
      <c r="W25" s="93">
        <f t="shared" si="0"/>
        <v>0</v>
      </c>
      <c r="X25" s="93">
        <f t="shared" si="0"/>
        <v>3786</v>
      </c>
      <c r="Y25" s="93">
        <f t="shared" si="0"/>
        <v>4000</v>
      </c>
      <c r="Z25" s="93">
        <f t="shared" si="0"/>
        <v>0</v>
      </c>
      <c r="AA25" s="93">
        <f t="shared" si="0"/>
        <v>5099</v>
      </c>
      <c r="AB25" s="93">
        <f t="shared" si="0"/>
        <v>38000</v>
      </c>
      <c r="AC25" s="93">
        <f t="shared" si="0"/>
        <v>0</v>
      </c>
      <c r="AD25" s="93">
        <f t="shared" si="0"/>
        <v>5718</v>
      </c>
      <c r="AE25" s="93">
        <f t="shared" si="0"/>
        <v>28000</v>
      </c>
      <c r="AF25" s="93">
        <f t="shared" si="0"/>
        <v>0</v>
      </c>
      <c r="AG25" s="93">
        <f t="shared" si="0"/>
        <v>74560</v>
      </c>
      <c r="AH25" s="93">
        <f t="shared" si="0"/>
        <v>20000</v>
      </c>
      <c r="AI25" s="93">
        <f t="shared" si="0"/>
        <v>0</v>
      </c>
      <c r="AJ25" s="93">
        <f t="shared" si="0"/>
        <v>0</v>
      </c>
      <c r="AK25" s="93">
        <f t="shared" si="0"/>
        <v>0</v>
      </c>
      <c r="AL25" s="93">
        <f t="shared" si="0"/>
        <v>0</v>
      </c>
      <c r="AM25" s="93">
        <f t="shared" si="0"/>
        <v>4330</v>
      </c>
      <c r="AN25" s="93">
        <f t="shared" si="0"/>
        <v>10000</v>
      </c>
      <c r="AO25" s="93">
        <f t="shared" si="0"/>
        <v>0</v>
      </c>
      <c r="AP25" s="93">
        <f t="shared" si="0"/>
        <v>4652</v>
      </c>
      <c r="AQ25" s="93">
        <f t="shared" si="0"/>
        <v>60000</v>
      </c>
      <c r="AR25" s="93">
        <f t="shared" si="0"/>
        <v>0</v>
      </c>
      <c r="AS25" s="93">
        <f t="shared" si="0"/>
        <v>5991</v>
      </c>
      <c r="AT25" s="93">
        <f t="shared" si="0"/>
        <v>11000</v>
      </c>
      <c r="AU25" s="93">
        <f t="shared" si="0"/>
        <v>0</v>
      </c>
      <c r="AV25" s="93">
        <f t="shared" si="0"/>
        <v>332</v>
      </c>
      <c r="AW25" s="93">
        <f t="shared" si="0"/>
        <v>100</v>
      </c>
      <c r="AX25" s="93">
        <f t="shared" si="0"/>
        <v>0</v>
      </c>
      <c r="AY25" s="88"/>
    </row>
    <row r="26" spans="1:51" x14ac:dyDescent="0.2">
      <c r="AM26" s="65"/>
      <c r="AN26" s="65"/>
      <c r="AO26" s="65"/>
    </row>
    <row r="27" spans="1:51" ht="15.75" x14ac:dyDescent="0.25">
      <c r="B27" s="40" t="s">
        <v>1766</v>
      </c>
      <c r="F27" s="138"/>
      <c r="AM27" s="65"/>
      <c r="AN27" s="65"/>
      <c r="AO27" s="65"/>
    </row>
    <row r="28" spans="1:51" x14ac:dyDescent="0.2">
      <c r="B28" s="67" t="s">
        <v>1762</v>
      </c>
      <c r="AM28" s="65"/>
      <c r="AN28" s="65"/>
      <c r="AO28" s="65"/>
    </row>
    <row r="29" spans="1:51" x14ac:dyDescent="0.2">
      <c r="B29" s="67" t="s">
        <v>1693</v>
      </c>
      <c r="AM29" s="65"/>
      <c r="AN29" s="65"/>
      <c r="AO29" s="65"/>
    </row>
    <row r="30" spans="1:51" x14ac:dyDescent="0.2">
      <c r="B30" s="67" t="s">
        <v>1692</v>
      </c>
      <c r="AM30" s="65"/>
      <c r="AN30" s="65"/>
      <c r="AO30" s="65"/>
    </row>
    <row r="31" spans="1:51" x14ac:dyDescent="0.2">
      <c r="B31" s="66" t="s">
        <v>1734</v>
      </c>
      <c r="AM31" s="65"/>
      <c r="AN31" s="65"/>
      <c r="AO31" s="65"/>
    </row>
    <row r="32" spans="1:51" x14ac:dyDescent="0.2">
      <c r="B32" s="140" t="s">
        <v>1763</v>
      </c>
      <c r="AM32" s="65"/>
      <c r="AN32" s="65"/>
      <c r="AO32" s="65"/>
    </row>
    <row r="33" spans="1:72" x14ac:dyDescent="0.2">
      <c r="B33" s="66" t="s">
        <v>1691</v>
      </c>
      <c r="AM33" s="65"/>
      <c r="AN33" s="65"/>
      <c r="AO33" s="65"/>
    </row>
    <row r="34" spans="1:72" x14ac:dyDescent="0.2">
      <c r="B34" s="33" t="s">
        <v>1690</v>
      </c>
      <c r="AM34" s="65"/>
      <c r="AN34" s="65"/>
      <c r="AO34" s="65"/>
    </row>
    <row r="35" spans="1:72" x14ac:dyDescent="0.2">
      <c r="B35" s="33" t="s">
        <v>1767</v>
      </c>
      <c r="R35" s="137"/>
      <c r="AM35" s="65"/>
      <c r="AN35" s="65"/>
      <c r="AO35" s="65"/>
    </row>
    <row r="36" spans="1:72" x14ac:dyDescent="0.2">
      <c r="B36" s="67" t="s">
        <v>1765</v>
      </c>
      <c r="R36" s="137"/>
      <c r="AM36" s="65"/>
      <c r="AN36" s="65"/>
      <c r="AO36" s="65"/>
    </row>
    <row r="37" spans="1:72" x14ac:dyDescent="0.2">
      <c r="B37" s="66" t="s">
        <v>1694</v>
      </c>
      <c r="AM37" s="65"/>
      <c r="AN37" s="65"/>
      <c r="AO37" s="65"/>
    </row>
    <row r="38" spans="1:72" x14ac:dyDescent="0.2">
      <c r="B38" s="66"/>
      <c r="AM38" s="65"/>
      <c r="AN38" s="65"/>
      <c r="AO38" s="65"/>
    </row>
    <row r="39" spans="1:72" x14ac:dyDescent="0.2">
      <c r="B39" s="66"/>
      <c r="AM39" s="65"/>
      <c r="AN39" s="65"/>
      <c r="AO39" s="65"/>
    </row>
    <row r="40" spans="1:72" x14ac:dyDescent="0.2">
      <c r="A40" s="66" t="s">
        <v>1689</v>
      </c>
      <c r="AM40" s="65"/>
      <c r="AN40" s="65"/>
      <c r="AO40" s="65"/>
    </row>
    <row r="41" spans="1:72" x14ac:dyDescent="0.2">
      <c r="A41" s="56"/>
      <c r="B41" s="57"/>
      <c r="C41" s="58"/>
      <c r="D41" s="59"/>
      <c r="E41" s="72"/>
      <c r="F41" s="59"/>
      <c r="G41" s="72"/>
      <c r="H41" s="59"/>
      <c r="I41" s="59"/>
      <c r="J41" s="59"/>
      <c r="K41" s="59"/>
      <c r="L41" s="60"/>
      <c r="M41" s="60"/>
      <c r="N41" s="60"/>
      <c r="O41" s="60"/>
      <c r="P41" s="60"/>
      <c r="Q41" s="60"/>
      <c r="R41" s="61"/>
      <c r="S41" s="61"/>
      <c r="T41" s="61"/>
      <c r="U41" s="61"/>
      <c r="V41" s="61"/>
      <c r="W41" s="61"/>
      <c r="X41" s="68"/>
      <c r="Y41" s="68"/>
      <c r="Z41" s="68"/>
      <c r="AA41" s="62"/>
      <c r="AB41" s="62"/>
      <c r="AC41" s="62"/>
      <c r="AD41" s="62"/>
      <c r="AE41" s="62"/>
      <c r="AF41" s="62"/>
      <c r="AG41" s="62"/>
      <c r="AH41" s="62"/>
      <c r="AI41" s="62"/>
      <c r="AJ41" s="62"/>
      <c r="AK41" s="62"/>
      <c r="AL41" s="62"/>
      <c r="AM41" s="62"/>
      <c r="AN41" s="62"/>
      <c r="AO41" s="62"/>
      <c r="AP41" s="62"/>
      <c r="AQ41" s="62"/>
      <c r="AR41" s="62"/>
      <c r="AS41" s="63"/>
      <c r="AT41" s="63"/>
      <c r="AU41" s="63"/>
      <c r="AV41" s="62"/>
      <c r="AW41" s="62"/>
      <c r="AX41" s="62"/>
      <c r="AY41" s="62"/>
      <c r="AZ41" s="62"/>
      <c r="BA41" s="62"/>
      <c r="BB41" s="64"/>
      <c r="BC41" s="64"/>
      <c r="BD41" s="64"/>
      <c r="BE41" s="64"/>
      <c r="BF41" s="64"/>
      <c r="BG41" s="64"/>
      <c r="BH41" s="64"/>
      <c r="BI41" s="64"/>
      <c r="BJ41" s="64"/>
      <c r="BK41" s="64"/>
      <c r="BL41" s="64"/>
      <c r="BM41" s="64"/>
      <c r="BN41" s="60"/>
      <c r="BO41" s="60"/>
      <c r="BP41" s="60"/>
      <c r="BQ41" s="60"/>
      <c r="BR41" s="60"/>
      <c r="BS41" s="60"/>
      <c r="BT41" s="60"/>
    </row>
  </sheetData>
  <mergeCells count="22">
    <mergeCell ref="X4:Z4"/>
    <mergeCell ref="H4:H5"/>
    <mergeCell ref="A4:C4"/>
    <mergeCell ref="A25:H25"/>
    <mergeCell ref="A1:C2"/>
    <mergeCell ref="D4:D5"/>
    <mergeCell ref="E4:E5"/>
    <mergeCell ref="F4:F5"/>
    <mergeCell ref="G4:G5"/>
    <mergeCell ref="I4:K4"/>
    <mergeCell ref="L4:N4"/>
    <mergeCell ref="O4:Q4"/>
    <mergeCell ref="R4:T4"/>
    <mergeCell ref="U4:W4"/>
    <mergeCell ref="AV4:AX4"/>
    <mergeCell ref="AP4:AR4"/>
    <mergeCell ref="AA4:AC4"/>
    <mergeCell ref="AD4:AF4"/>
    <mergeCell ref="AG4:AI4"/>
    <mergeCell ref="AJ4:AL4"/>
    <mergeCell ref="AS4:AU4"/>
    <mergeCell ref="AM4:AO4"/>
  </mergeCells>
  <dataValidations count="6">
    <dataValidation type="list" allowBlank="1" showInputMessage="1" showErrorMessage="1" sqref="F6:F24 H6:H24">
      <formula1>INDIRECT("Admin1_"&amp;E6)</formula1>
    </dataValidation>
    <dataValidation type="list" allowBlank="1" showInputMessage="1" showErrorMessage="1" sqref="L41:N41">
      <formula1>CircleList</formula1>
    </dataValidation>
    <dataValidation type="list" allowBlank="1" showInputMessage="1" showErrorMessage="1" sqref="I41:K41">
      <formula1>RegionList</formula1>
    </dataValidation>
    <dataValidation type="list" allowBlank="1" showInputMessage="1" showErrorMessage="1" sqref="C41:H41 C6:C11 B16:B24">
      <formula1>ORGANIZATION</formula1>
    </dataValidation>
    <dataValidation type="list" allowBlank="1" showInputMessage="1" showErrorMessage="1" sqref="D6:D24">
      <formula1>Admin1</formula1>
    </dataValidation>
    <dataValidation type="list" allowBlank="1" showInputMessage="1" showErrorMessage="1" sqref="C12:C24 B6:B15">
      <formula1>Organisations</formula1>
    </dataValidation>
  </dataValidations>
  <pageMargins left="0.7" right="0.7" top="0.75" bottom="0.75" header="0.3" footer="0.3"/>
  <pageSetup paperSize="9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</sheetPr>
  <dimension ref="A1:S40"/>
  <sheetViews>
    <sheetView topLeftCell="A55" zoomScale="85" zoomScaleNormal="85" workbookViewId="0">
      <selection activeCell="A24" sqref="A24:S39"/>
    </sheetView>
  </sheetViews>
  <sheetFormatPr baseColWidth="10" defaultColWidth="9.140625" defaultRowHeight="15" x14ac:dyDescent="0.25"/>
  <cols>
    <col min="1" max="1" width="27.28515625" customWidth="1"/>
    <col min="2" max="2" width="14.140625" customWidth="1"/>
    <col min="3" max="3" width="15" customWidth="1"/>
    <col min="4" max="4" width="22.42578125" customWidth="1"/>
    <col min="5" max="5" width="18.85546875" customWidth="1"/>
    <col min="6" max="6" width="13.5703125" customWidth="1"/>
    <col min="7" max="7" width="17.85546875" customWidth="1"/>
    <col min="8" max="8" width="21" customWidth="1"/>
    <col min="9" max="9" width="13" customWidth="1"/>
    <col min="10" max="10" width="21.28515625" customWidth="1"/>
    <col min="11" max="19" width="10.42578125" customWidth="1"/>
  </cols>
  <sheetData>
    <row r="1" spans="1:10" x14ac:dyDescent="0.25">
      <c r="A1" s="246" t="s">
        <v>1722</v>
      </c>
      <c r="B1" s="247"/>
      <c r="C1" s="248"/>
    </row>
    <row r="2" spans="1:10" ht="15.75" thickBot="1" x14ac:dyDescent="0.3">
      <c r="A2" s="249"/>
      <c r="B2" s="250"/>
      <c r="C2" s="251"/>
      <c r="E2" s="146" t="s">
        <v>1797</v>
      </c>
    </row>
    <row r="3" spans="1:10" x14ac:dyDescent="0.25">
      <c r="A3" s="139"/>
      <c r="C3" s="139"/>
      <c r="D3" s="157" t="s">
        <v>1793</v>
      </c>
      <c r="E3" s="139"/>
    </row>
    <row r="4" spans="1:10" ht="15.75" customHeight="1" x14ac:dyDescent="0.25">
      <c r="A4" s="139"/>
    </row>
    <row r="5" spans="1:10" hidden="1" x14ac:dyDescent="0.25">
      <c r="B5" s="94" t="s">
        <v>1747</v>
      </c>
    </row>
    <row r="6" spans="1:10" ht="15.75" hidden="1" customHeight="1" x14ac:dyDescent="0.25">
      <c r="A6" s="161" t="s">
        <v>1743</v>
      </c>
      <c r="B6" s="1" t="s">
        <v>1746</v>
      </c>
      <c r="C6" s="1" t="s">
        <v>1755</v>
      </c>
      <c r="D6" s="1" t="s">
        <v>1754</v>
      </c>
      <c r="E6" s="1" t="s">
        <v>1748</v>
      </c>
      <c r="F6" s="1" t="s">
        <v>1753</v>
      </c>
      <c r="G6" s="1" t="s">
        <v>1752</v>
      </c>
      <c r="H6" s="1" t="s">
        <v>1751</v>
      </c>
      <c r="I6" s="1" t="s">
        <v>1750</v>
      </c>
      <c r="J6" s="1" t="s">
        <v>1749</v>
      </c>
    </row>
    <row r="7" spans="1:10" hidden="1" x14ac:dyDescent="0.25">
      <c r="A7" s="164" t="s">
        <v>1624</v>
      </c>
      <c r="B7" s="97"/>
      <c r="C7" s="97">
        <v>700</v>
      </c>
      <c r="D7" s="97">
        <v>597</v>
      </c>
      <c r="E7" s="97">
        <v>2594</v>
      </c>
      <c r="F7" s="97">
        <v>2594</v>
      </c>
      <c r="G7" s="97">
        <v>1297</v>
      </c>
      <c r="H7" s="97"/>
      <c r="I7" s="97"/>
      <c r="J7" s="97">
        <v>1400</v>
      </c>
    </row>
    <row r="8" spans="1:10" hidden="1" x14ac:dyDescent="0.25">
      <c r="A8" s="164" t="s">
        <v>1647</v>
      </c>
      <c r="B8" s="97"/>
      <c r="C8" s="97"/>
      <c r="D8" s="97">
        <v>300</v>
      </c>
      <c r="E8" s="97">
        <v>600</v>
      </c>
      <c r="F8" s="97">
        <v>600</v>
      </c>
      <c r="G8" s="97">
        <v>300</v>
      </c>
      <c r="H8" s="97"/>
      <c r="I8" s="97"/>
      <c r="J8" s="97"/>
    </row>
    <row r="9" spans="1:10" hidden="1" x14ac:dyDescent="0.25">
      <c r="A9" s="164" t="s">
        <v>1646</v>
      </c>
      <c r="B9" s="97"/>
      <c r="C9" s="97"/>
      <c r="D9" s="97">
        <v>800</v>
      </c>
      <c r="E9" s="97">
        <v>1600</v>
      </c>
      <c r="F9" s="97">
        <v>1600</v>
      </c>
      <c r="G9" s="97">
        <v>800</v>
      </c>
      <c r="H9" s="97"/>
      <c r="I9" s="97"/>
      <c r="J9" s="97"/>
    </row>
    <row r="10" spans="1:10" hidden="1" x14ac:dyDescent="0.25">
      <c r="A10" s="164" t="s">
        <v>1599</v>
      </c>
      <c r="B10" s="97"/>
      <c r="C10" s="97"/>
      <c r="D10" s="97">
        <v>1060</v>
      </c>
      <c r="E10" s="97">
        <v>2120</v>
      </c>
      <c r="F10" s="97">
        <v>2120</v>
      </c>
      <c r="G10" s="97">
        <v>1060</v>
      </c>
      <c r="H10" s="97"/>
      <c r="I10" s="97"/>
      <c r="J10" s="97"/>
    </row>
    <row r="11" spans="1:10" hidden="1" x14ac:dyDescent="0.25">
      <c r="A11" s="164" t="s">
        <v>1798</v>
      </c>
      <c r="B11" s="97"/>
      <c r="C11" s="97"/>
      <c r="D11" s="97">
        <v>600</v>
      </c>
      <c r="E11" s="97">
        <v>9312</v>
      </c>
      <c r="F11" s="97">
        <v>10514</v>
      </c>
      <c r="G11" s="97">
        <v>600</v>
      </c>
      <c r="H11" s="97"/>
      <c r="I11" s="97"/>
      <c r="J11" s="97"/>
    </row>
    <row r="12" spans="1:10" hidden="1" x14ac:dyDescent="0.25">
      <c r="A12" s="164" t="s">
        <v>1584</v>
      </c>
      <c r="B12" s="97"/>
      <c r="C12" s="97"/>
      <c r="D12" s="97"/>
      <c r="E12" s="97">
        <v>1215</v>
      </c>
      <c r="F12" s="97">
        <v>3429</v>
      </c>
      <c r="G12" s="97">
        <v>345</v>
      </c>
      <c r="H12" s="97"/>
      <c r="I12" s="97"/>
      <c r="J12" s="97">
        <v>1479</v>
      </c>
    </row>
    <row r="13" spans="1:10" hidden="1" x14ac:dyDescent="0.25">
      <c r="A13" s="164" t="s">
        <v>1635</v>
      </c>
      <c r="B13" s="97">
        <v>17</v>
      </c>
      <c r="C13" s="97">
        <v>50</v>
      </c>
      <c r="D13" s="97">
        <v>982</v>
      </c>
      <c r="E13" s="97">
        <v>2886</v>
      </c>
      <c r="F13" s="97">
        <v>2796</v>
      </c>
      <c r="G13" s="97">
        <v>1814</v>
      </c>
      <c r="H13" s="97"/>
      <c r="I13" s="97"/>
      <c r="J13" s="97"/>
    </row>
    <row r="14" spans="1:10" hidden="1" x14ac:dyDescent="0.25">
      <c r="A14" s="164" t="s">
        <v>1540</v>
      </c>
      <c r="B14" s="97"/>
      <c r="C14" s="97"/>
      <c r="D14" s="97"/>
      <c r="E14" s="97">
        <v>718</v>
      </c>
      <c r="F14" s="97">
        <v>718</v>
      </c>
      <c r="G14" s="97">
        <v>718</v>
      </c>
      <c r="H14" s="97">
        <v>718</v>
      </c>
      <c r="I14" s="97">
        <v>718</v>
      </c>
      <c r="J14" s="97">
        <v>718</v>
      </c>
    </row>
    <row r="15" spans="1:10" hidden="1" x14ac:dyDescent="0.25">
      <c r="A15" s="164" t="s">
        <v>1633</v>
      </c>
      <c r="B15" s="97"/>
      <c r="C15" s="97"/>
      <c r="D15" s="97">
        <v>200</v>
      </c>
      <c r="E15" s="97">
        <v>400</v>
      </c>
      <c r="F15" s="97">
        <v>400</v>
      </c>
      <c r="G15" s="97">
        <v>200</v>
      </c>
      <c r="H15" s="97"/>
      <c r="I15" s="97"/>
      <c r="J15" s="97"/>
    </row>
    <row r="16" spans="1:10" hidden="1" x14ac:dyDescent="0.25">
      <c r="A16" s="164" t="s">
        <v>1720</v>
      </c>
      <c r="B16" s="97"/>
      <c r="C16" s="97"/>
      <c r="D16" s="97">
        <v>300</v>
      </c>
      <c r="E16" s="97">
        <v>600</v>
      </c>
      <c r="F16" s="97">
        <v>600</v>
      </c>
      <c r="G16" s="97">
        <v>300</v>
      </c>
      <c r="H16" s="97"/>
      <c r="I16" s="97"/>
      <c r="J16" s="97"/>
    </row>
    <row r="17" spans="1:19" hidden="1" x14ac:dyDescent="0.25">
      <c r="A17" s="164" t="s">
        <v>1721</v>
      </c>
      <c r="B17" s="97"/>
      <c r="C17" s="97"/>
      <c r="D17" s="97">
        <v>800</v>
      </c>
      <c r="E17" s="97">
        <v>1600</v>
      </c>
      <c r="F17" s="97">
        <v>1600</v>
      </c>
      <c r="G17" s="97">
        <v>800</v>
      </c>
      <c r="H17" s="97"/>
      <c r="I17" s="97"/>
      <c r="J17" s="97"/>
    </row>
    <row r="18" spans="1:19" hidden="1" x14ac:dyDescent="0.25">
      <c r="A18" s="164" t="s">
        <v>1637</v>
      </c>
      <c r="B18" s="97"/>
      <c r="C18" s="97"/>
      <c r="D18" s="97">
        <v>1709</v>
      </c>
      <c r="E18" s="97">
        <v>8608</v>
      </c>
      <c r="F18" s="97">
        <v>5793</v>
      </c>
      <c r="G18" s="97">
        <v>743</v>
      </c>
      <c r="H18" s="97">
        <v>4434</v>
      </c>
      <c r="I18" s="97">
        <v>2924</v>
      </c>
      <c r="J18" s="97">
        <v>5768</v>
      </c>
    </row>
    <row r="19" spans="1:19" hidden="1" x14ac:dyDescent="0.25">
      <c r="A19" s="164" t="s">
        <v>1634</v>
      </c>
      <c r="B19" s="97"/>
      <c r="C19" s="97"/>
      <c r="D19" s="97"/>
      <c r="E19" s="97">
        <v>384</v>
      </c>
      <c r="F19" s="97">
        <v>384</v>
      </c>
      <c r="G19" s="97">
        <v>192</v>
      </c>
      <c r="H19" s="97"/>
      <c r="I19" s="97"/>
      <c r="J19" s="97"/>
    </row>
    <row r="20" spans="1:19" hidden="1" x14ac:dyDescent="0.25">
      <c r="A20" s="164" t="s">
        <v>1744</v>
      </c>
      <c r="B20" s="97"/>
      <c r="C20" s="97"/>
      <c r="D20" s="97"/>
      <c r="E20" s="97"/>
      <c r="F20" s="97"/>
      <c r="G20" s="97"/>
      <c r="H20" s="97"/>
      <c r="I20" s="97"/>
      <c r="J20" s="97"/>
    </row>
    <row r="21" spans="1:19" hidden="1" x14ac:dyDescent="0.25">
      <c r="A21" s="12" t="s">
        <v>1745</v>
      </c>
      <c r="B21" s="97">
        <v>17</v>
      </c>
      <c r="C21" s="97">
        <v>750</v>
      </c>
      <c r="D21" s="97">
        <v>7348</v>
      </c>
      <c r="E21" s="163">
        <v>32637</v>
      </c>
      <c r="F21" s="97">
        <v>33148</v>
      </c>
      <c r="G21" s="97">
        <v>9169</v>
      </c>
      <c r="H21" s="97">
        <v>5152</v>
      </c>
      <c r="I21" s="97">
        <v>3642</v>
      </c>
      <c r="J21" s="97">
        <v>9365</v>
      </c>
    </row>
    <row r="22" spans="1:19" x14ac:dyDescent="0.25">
      <c r="A22" s="165"/>
      <c r="B22" s="166"/>
      <c r="C22" s="166"/>
      <c r="D22" s="166"/>
      <c r="E22" s="167"/>
      <c r="F22" s="166"/>
      <c r="G22" s="166"/>
      <c r="H22" s="166"/>
      <c r="I22" s="166"/>
      <c r="J22" s="166"/>
    </row>
    <row r="23" spans="1:19" x14ac:dyDescent="0.25">
      <c r="A23" s="165"/>
      <c r="B23" s="166"/>
      <c r="C23" s="166"/>
      <c r="D23" s="166"/>
      <c r="E23" s="167"/>
      <c r="F23" s="166"/>
      <c r="G23" s="166"/>
      <c r="H23" s="166"/>
      <c r="I23" s="166"/>
      <c r="J23" s="166"/>
    </row>
    <row r="24" spans="1:19" s="5" customFormat="1" x14ac:dyDescent="0.25">
      <c r="A24" s="206"/>
      <c r="B24" s="270" t="s">
        <v>1737</v>
      </c>
      <c r="C24" s="270"/>
      <c r="D24" s="270" t="s">
        <v>1446</v>
      </c>
      <c r="E24" s="270"/>
      <c r="F24" s="270" t="s">
        <v>1738</v>
      </c>
      <c r="G24" s="270"/>
      <c r="H24" s="270" t="s">
        <v>1449</v>
      </c>
      <c r="I24" s="270"/>
      <c r="J24" s="270" t="s">
        <v>1450</v>
      </c>
      <c r="K24" s="270"/>
      <c r="L24" s="270" t="s">
        <v>1452</v>
      </c>
      <c r="M24" s="270"/>
      <c r="N24" s="271" t="s">
        <v>1702</v>
      </c>
      <c r="O24" s="271"/>
      <c r="P24" s="271" t="s">
        <v>1453</v>
      </c>
      <c r="Q24" s="271"/>
      <c r="R24" s="271" t="s">
        <v>1454</v>
      </c>
      <c r="S24" s="271"/>
    </row>
    <row r="25" spans="1:19" s="183" customFormat="1" x14ac:dyDescent="0.25">
      <c r="A25" s="207" t="s">
        <v>1787</v>
      </c>
      <c r="B25" s="208" t="s">
        <v>1802</v>
      </c>
      <c r="C25" s="209" t="s">
        <v>1789</v>
      </c>
      <c r="D25" s="208" t="s">
        <v>1802</v>
      </c>
      <c r="E25" s="209" t="s">
        <v>1790</v>
      </c>
      <c r="F25" s="208" t="s">
        <v>1802</v>
      </c>
      <c r="G25" s="209" t="s">
        <v>1789</v>
      </c>
      <c r="H25" s="208" t="s">
        <v>1802</v>
      </c>
      <c r="I25" s="209" t="s">
        <v>1789</v>
      </c>
      <c r="J25" s="208" t="s">
        <v>1802</v>
      </c>
      <c r="K25" s="209" t="s">
        <v>1789</v>
      </c>
      <c r="L25" s="208" t="s">
        <v>1802</v>
      </c>
      <c r="M25" s="209" t="s">
        <v>1789</v>
      </c>
      <c r="N25" s="208" t="s">
        <v>1802</v>
      </c>
      <c r="O25" s="209" t="s">
        <v>1789</v>
      </c>
      <c r="P25" s="208" t="s">
        <v>1802</v>
      </c>
      <c r="Q25" s="209" t="s">
        <v>1789</v>
      </c>
      <c r="R25" s="210" t="s">
        <v>1802</v>
      </c>
      <c r="S25" s="209" t="s">
        <v>1789</v>
      </c>
    </row>
    <row r="26" spans="1:19" s="5" customFormat="1" x14ac:dyDescent="0.25">
      <c r="A26" s="211" t="s">
        <v>1624</v>
      </c>
      <c r="B26" s="212">
        <f>GETPIVOTDATA("Sum of Tentes ",$A$5,"AGENCE","ACTED")</f>
        <v>0</v>
      </c>
      <c r="C26" s="213">
        <f>B26/B39</f>
        <v>0</v>
      </c>
      <c r="D26" s="214">
        <f>GETPIVOTDATA("Sum of Matelas",$A$5,"AGENCE","ACTED")</f>
        <v>700</v>
      </c>
      <c r="E26" s="213">
        <f>D26/D39</f>
        <v>0.93333333333333335</v>
      </c>
      <c r="F26" s="214">
        <f>GETPIVOTDATA("Sum of Baches 4m x 5m ",$A$5,"AGENCE","ACTED")</f>
        <v>597</v>
      </c>
      <c r="G26" s="213">
        <f>F26/F39</f>
        <v>8.1246597713663576E-2</v>
      </c>
      <c r="H26" s="214">
        <f>GETPIVOTDATA("Sum of Couvertures",$A$5,"AGENCE","ACTED")</f>
        <v>2594</v>
      </c>
      <c r="I26" s="213">
        <f>H26/H39</f>
        <v>7.9480344394398994E-2</v>
      </c>
      <c r="J26" s="214">
        <f>GETPIVOTDATA("Sum of Nattes",$A$5,"AGENCE","ACTED")</f>
        <v>2594</v>
      </c>
      <c r="K26" s="213">
        <f>J26/J39</f>
        <v>7.8255098346808258E-2</v>
      </c>
      <c r="L26" s="214">
        <f>GETPIVOTDATA("Sum of Kits cuisine",$A$5,"AGENCE","ACTED")</f>
        <v>1297</v>
      </c>
      <c r="M26" s="213">
        <f>L26/L39</f>
        <v>0.14145490238848293</v>
      </c>
      <c r="N26" s="214">
        <f>GETPIVOTDATA("Sum of Bidons 10litres",$A$5,"AGENCE","ACTED")</f>
        <v>0</v>
      </c>
      <c r="O26" s="213">
        <f>N26/N39</f>
        <v>0</v>
      </c>
      <c r="P26" s="214">
        <f>GETPIVOTDATA("Sum of Seaux",$A$5,"AGENCE","ACTED")</f>
        <v>0</v>
      </c>
      <c r="Q26" s="213">
        <f>P26/P39</f>
        <v>0</v>
      </c>
      <c r="R26" s="212">
        <f>GETPIVOTDATA("Sum of Moustiquaires ",$A$5,"AGENCE","ACTED")</f>
        <v>1400</v>
      </c>
      <c r="S26" s="213">
        <f>R26/R39</f>
        <v>0.14949279231179927</v>
      </c>
    </row>
    <row r="27" spans="1:19" s="5" customFormat="1" x14ac:dyDescent="0.25">
      <c r="A27" s="211" t="s">
        <v>1647</v>
      </c>
      <c r="B27" s="212">
        <f>GETPIVOTDATA("Sum of Tentes ",$A$5,"AGENCE","ALIMA")</f>
        <v>0</v>
      </c>
      <c r="C27" s="213">
        <f>B27/B39</f>
        <v>0</v>
      </c>
      <c r="D27" s="214">
        <f>GETPIVOTDATA("Sum of Matelas",$A$5,"AGENCE","ALIMA")</f>
        <v>0</v>
      </c>
      <c r="E27" s="213">
        <f>D27/D39</f>
        <v>0</v>
      </c>
      <c r="F27" s="214">
        <f>GETPIVOTDATA("Sum of Baches 4m x 5m ",$A$5,"AGENCE","ALIMA")</f>
        <v>300</v>
      </c>
      <c r="G27" s="213">
        <f>F27/F39</f>
        <v>4.0827436037016877E-2</v>
      </c>
      <c r="H27" s="214">
        <f>GETPIVOTDATA("Sum of Couvertures",$A$5,"AGENCE","ALIMA")</f>
        <v>600</v>
      </c>
      <c r="I27" s="213">
        <f>H27/H39</f>
        <v>1.8384042650978951E-2</v>
      </c>
      <c r="J27" s="214">
        <f>GETPIVOTDATA("Sum of Nattes",$A$5,"AGENCE","ALIMA")</f>
        <v>600</v>
      </c>
      <c r="K27" s="213">
        <f>J27/J39</f>
        <v>1.8100639555930977E-2</v>
      </c>
      <c r="L27" s="214">
        <f>GETPIVOTDATA("Sum of Kits cuisine",$A$5,"AGENCE","ALIMA")</f>
        <v>300</v>
      </c>
      <c r="M27" s="213">
        <f>L27/L39</f>
        <v>3.2718944268731592E-2</v>
      </c>
      <c r="N27" s="214">
        <f>GETPIVOTDATA("Sum of Bidons 10litres",$A$5,"AGENCE","ALIMA")</f>
        <v>0</v>
      </c>
      <c r="O27" s="213">
        <f>N27/N39</f>
        <v>0</v>
      </c>
      <c r="P27" s="214">
        <f>GETPIVOTDATA("Sum of Seaux",$A$5,"AGENCE","ALIMA")</f>
        <v>0</v>
      </c>
      <c r="Q27" s="213">
        <f>P27/P39</f>
        <v>0</v>
      </c>
      <c r="R27" s="212">
        <f>GETPIVOTDATA("Sum of Moustiquaires ",$A$5,"AGENCE","ALIMA")</f>
        <v>0</v>
      </c>
      <c r="S27" s="213">
        <f>R27/R39</f>
        <v>0</v>
      </c>
    </row>
    <row r="28" spans="1:19" s="5" customFormat="1" x14ac:dyDescent="0.25">
      <c r="A28" s="211" t="s">
        <v>1646</v>
      </c>
      <c r="B28" s="212">
        <f>GETPIVOTDATA("Sum of Tentes ",$A$5,"AGENCE","AVSF")</f>
        <v>0</v>
      </c>
      <c r="C28" s="213">
        <f>B28/B39</f>
        <v>0</v>
      </c>
      <c r="D28" s="214">
        <f>GETPIVOTDATA("Sum of Matelas",$A$5,"AGENCE","AVSF")</f>
        <v>0</v>
      </c>
      <c r="E28" s="213">
        <f>D28/D39</f>
        <v>0</v>
      </c>
      <c r="F28" s="214">
        <f>GETPIVOTDATA("Sum of Baches 4m x 5m ",$A$5,"AGENCE","AVSF")</f>
        <v>800</v>
      </c>
      <c r="G28" s="213">
        <f>F28/F39</f>
        <v>0.10887316276537834</v>
      </c>
      <c r="H28" s="214">
        <f>GETPIVOTDATA("Sum of Couvertures",$A$5,"AGENCE","AVSF")</f>
        <v>1600</v>
      </c>
      <c r="I28" s="213">
        <f>H28/H39</f>
        <v>4.9024113735943869E-2</v>
      </c>
      <c r="J28" s="214">
        <f>GETPIVOTDATA("Sum of Nattes",$A$5,"AGENCE","AVSF")</f>
        <v>1600</v>
      </c>
      <c r="K28" s="213">
        <f>J28/J39</f>
        <v>4.8268372149149273E-2</v>
      </c>
      <c r="L28" s="214">
        <f>GETPIVOTDATA("Sum of Kits cuisine",$A$5,"AGENCE","AVSF")</f>
        <v>800</v>
      </c>
      <c r="M28" s="213">
        <f>L28/L39</f>
        <v>8.7250518049950918E-2</v>
      </c>
      <c r="N28" s="214">
        <f>GETPIVOTDATA("Sum of Bidons 10litres",$A$5,"AGENCE","AVSF")</f>
        <v>0</v>
      </c>
      <c r="O28" s="213">
        <f>N28/N39</f>
        <v>0</v>
      </c>
      <c r="P28" s="214">
        <f>GETPIVOTDATA("Sum of Seaux",$A$5,"AGENCE","AVSF")</f>
        <v>0</v>
      </c>
      <c r="Q28" s="213">
        <f>P28/P39</f>
        <v>0</v>
      </c>
      <c r="R28" s="212">
        <f>GETPIVOTDATA("Sum of Moustiquaires ",$A$5,"AGENCE","AVSF")</f>
        <v>0</v>
      </c>
      <c r="S28" s="213">
        <f>R28/R39</f>
        <v>0</v>
      </c>
    </row>
    <row r="29" spans="1:19" s="5" customFormat="1" x14ac:dyDescent="0.25">
      <c r="A29" s="215" t="s">
        <v>1599</v>
      </c>
      <c r="B29" s="212">
        <f>GETPIVOTDATA("Sum of Tentes ",$A$5,"AGENCE","CARE")</f>
        <v>0</v>
      </c>
      <c r="C29" s="213">
        <f>B29/B39</f>
        <v>0</v>
      </c>
      <c r="D29" s="214">
        <f>GETPIVOTDATA("Sum of Matelas",$A$5,"AGENCE","CARE")</f>
        <v>0</v>
      </c>
      <c r="E29" s="213">
        <f>D29/D39</f>
        <v>0</v>
      </c>
      <c r="F29" s="214">
        <f>GETPIVOTDATA("Sum of Baches 4m x 5m ",$A$5,"AGENCE","CARE")</f>
        <v>1060</v>
      </c>
      <c r="G29" s="213">
        <f>F29/F39</f>
        <v>0.14425694066412628</v>
      </c>
      <c r="H29" s="214">
        <f>GETPIVOTDATA("Sum of Couvertures",$A$5,"AGENCE","CARE")</f>
        <v>2120</v>
      </c>
      <c r="I29" s="213">
        <f>H29/H39</f>
        <v>6.4956950700125624E-2</v>
      </c>
      <c r="J29" s="214">
        <f>GETPIVOTDATA("Sum of Nattes",$A$5,"AGENCE","CARE")</f>
        <v>2120</v>
      </c>
      <c r="K29" s="213">
        <f>J29/J39</f>
        <v>6.3955593097622776E-2</v>
      </c>
      <c r="L29" s="214">
        <f>GETPIVOTDATA("Sum of Kits cuisine",$A$5,"AGENCE","CARE")</f>
        <v>1060</v>
      </c>
      <c r="M29" s="213">
        <f>L29/L39</f>
        <v>0.11560693641618497</v>
      </c>
      <c r="N29" s="214">
        <f>GETPIVOTDATA("Sum of Bidons 10litres",$A$5,"AGENCE","CARE")</f>
        <v>0</v>
      </c>
      <c r="O29" s="213">
        <f>N29/N39</f>
        <v>0</v>
      </c>
      <c r="P29" s="214">
        <f>GETPIVOTDATA("Sum of Seaux",$A$5,"AGENCE","CARE")</f>
        <v>0</v>
      </c>
      <c r="Q29" s="213">
        <f>P29/P39</f>
        <v>0</v>
      </c>
      <c r="R29" s="212">
        <f>GETPIVOTDATA("Sum of Moustiquaires ",$A$5,"AGENCE","CARE")</f>
        <v>0</v>
      </c>
      <c r="S29" s="213">
        <f>R29/R39</f>
        <v>0</v>
      </c>
    </row>
    <row r="30" spans="1:19" s="5" customFormat="1" x14ac:dyDescent="0.25">
      <c r="A30" s="215" t="s">
        <v>1803</v>
      </c>
      <c r="B30" s="212">
        <f>GETPIVOTDATA("Sum of Tentes ",$A$5,"AGENCE","Croix Rouge Malienne")</f>
        <v>0</v>
      </c>
      <c r="C30" s="213">
        <f>B30/B39</f>
        <v>0</v>
      </c>
      <c r="D30" s="214">
        <f>GETPIVOTDATA("Sum of Matelas",$A$5,"AGENCE","Croix Rouge Malienne")</f>
        <v>0</v>
      </c>
      <c r="E30" s="213">
        <f>D30/D39</f>
        <v>0</v>
      </c>
      <c r="F30" s="214">
        <f>GETPIVOTDATA("Sum of Baches 4m x 5m ",$A$5,"AGENCE","Croix Rouge Malienne")</f>
        <v>600</v>
      </c>
      <c r="G30" s="213">
        <f>F30/F39</f>
        <v>8.1654872074033755E-2</v>
      </c>
      <c r="H30" s="214">
        <f>GETPIVOTDATA("Sum of Couvertures",$A$5,"AGENCE","Croix Rouge Malienne")</f>
        <v>9312</v>
      </c>
      <c r="I30" s="213">
        <f>H30/H39</f>
        <v>0.28532034194319333</v>
      </c>
      <c r="J30" s="214">
        <f>GETPIVOTDATA("Sum of Nattes",$A$5,"AGENCE","Croix Rouge Malienne")</f>
        <v>10514</v>
      </c>
      <c r="K30" s="213">
        <f>J30/J39</f>
        <v>0.31718354048509712</v>
      </c>
      <c r="L30" s="214">
        <f>GETPIVOTDATA("Sum of Kits cuisine",$A$5,"AGENCE","Croix Rouge Malienne")</f>
        <v>600</v>
      </c>
      <c r="M30" s="213">
        <f>L30/L39</f>
        <v>6.5437888537463185E-2</v>
      </c>
      <c r="N30" s="214">
        <f>GETPIVOTDATA("Sum of Bidons 10litres",$A$5,"AGENCE","Croix Rouge Malienne")</f>
        <v>0</v>
      </c>
      <c r="O30" s="213">
        <f>N30/N39</f>
        <v>0</v>
      </c>
      <c r="P30" s="214">
        <f>GETPIVOTDATA("Sum of Seaux",$A$5,"AGENCE","Croix Rouge Malienne")</f>
        <v>0</v>
      </c>
      <c r="Q30" s="213">
        <f>P30/P39</f>
        <v>0</v>
      </c>
      <c r="R30" s="212">
        <f>GETPIVOTDATA("Sum of Moustiquaires ",$A$5,"AGENCE","Croix Rouge Malienne")</f>
        <v>0</v>
      </c>
      <c r="S30" s="213">
        <f>R30/R39</f>
        <v>0</v>
      </c>
    </row>
    <row r="31" spans="1:19" s="5" customFormat="1" x14ac:dyDescent="0.25">
      <c r="A31" s="211" t="s">
        <v>1584</v>
      </c>
      <c r="B31" s="212">
        <f>GETPIVOTDATA("Sum of Tentes ",$A$5,"AGENCE","CRS")</f>
        <v>0</v>
      </c>
      <c r="C31" s="213">
        <f>B31/B39</f>
        <v>0</v>
      </c>
      <c r="D31" s="214">
        <f>GETPIVOTDATA("Sum of Matelas",$A$5,"AGENCE","CRS")</f>
        <v>0</v>
      </c>
      <c r="E31" s="213">
        <f>D31/D39</f>
        <v>0</v>
      </c>
      <c r="F31" s="214">
        <f>GETPIVOTDATA("Sum of Baches 4m x 5m ",$A$5,"AGENCE","CRS")</f>
        <v>0</v>
      </c>
      <c r="G31" s="213">
        <f>F31/F39</f>
        <v>0</v>
      </c>
      <c r="H31" s="214">
        <f>GETPIVOTDATA("Sum of Couvertures",$A$5,"AGENCE","CRS")</f>
        <v>1215</v>
      </c>
      <c r="I31" s="213">
        <f>H31/H39</f>
        <v>3.7227686368232371E-2</v>
      </c>
      <c r="J31" s="214">
        <f>GETPIVOTDATA("Sum of Nattes",$A$5,"AGENCE","CRS")</f>
        <v>3429</v>
      </c>
      <c r="K31" s="213">
        <f>J31/J39</f>
        <v>0.10344515506214554</v>
      </c>
      <c r="L31" s="214">
        <f>GETPIVOTDATA("Sum of Kits cuisine",$A$5,"AGENCE","CRS")</f>
        <v>345</v>
      </c>
      <c r="M31" s="213">
        <f>L31/L39</f>
        <v>3.7626785909041338E-2</v>
      </c>
      <c r="N31" s="214">
        <f>GETPIVOTDATA("Sum of Bidons 10litres",$A$5,"AGENCE","CRS")</f>
        <v>0</v>
      </c>
      <c r="O31" s="213">
        <f>N31/N39</f>
        <v>0</v>
      </c>
      <c r="P31" s="214">
        <f>GETPIVOTDATA("Sum of Seaux",$A$5,"AGENCE","CRS")</f>
        <v>0</v>
      </c>
      <c r="Q31" s="213">
        <f>P31/P39</f>
        <v>0</v>
      </c>
      <c r="R31" s="212">
        <f>GETPIVOTDATA("Sum of Moustiquaires ",$A$5,"AGENCE","CRS")</f>
        <v>1479</v>
      </c>
      <c r="S31" s="213">
        <f>R31/R39</f>
        <v>0.1579284570208222</v>
      </c>
    </row>
    <row r="32" spans="1:19" s="5" customFormat="1" x14ac:dyDescent="0.25">
      <c r="A32" s="211" t="s">
        <v>1635</v>
      </c>
      <c r="B32" s="212">
        <f>GETPIVOTDATA("Sum of Tentes ",$A$5,"AGENCE","DGPC")</f>
        <v>17</v>
      </c>
      <c r="C32" s="213">
        <f>B32/B39+C63</f>
        <v>1</v>
      </c>
      <c r="D32" s="214">
        <f>GETPIVOTDATA("Sum of Matelas",$A$5,"AGENCE","DGPC")</f>
        <v>50</v>
      </c>
      <c r="E32" s="213">
        <f>D32/D39</f>
        <v>6.6666666666666666E-2</v>
      </c>
      <c r="F32" s="214">
        <f>GETPIVOTDATA("Sum of Baches 4m x 5m ",$A$5,"AGENCE","DGPC")</f>
        <v>982</v>
      </c>
      <c r="G32" s="213">
        <f>F32/F39</f>
        <v>0.1336418072945019</v>
      </c>
      <c r="H32" s="214">
        <f>GETPIVOTDATA("Sum of Couvertures",$A$5,"AGENCE","DGPC")</f>
        <v>2886</v>
      </c>
      <c r="I32" s="213">
        <f>H32/H39</f>
        <v>8.8427245151208755E-2</v>
      </c>
      <c r="J32" s="214">
        <f>GETPIVOTDATA("Sum of Nattes",$A$5,"AGENCE","DGPC")</f>
        <v>2796</v>
      </c>
      <c r="K32" s="213">
        <f>J32/J39</f>
        <v>8.4348980330638354E-2</v>
      </c>
      <c r="L32" s="214">
        <f>GETPIVOTDATA("Sum of Kits cuisine",$A$5,"AGENCE","DGPC")</f>
        <v>1814</v>
      </c>
      <c r="M32" s="213">
        <f>L32/L39</f>
        <v>0.19784054967826373</v>
      </c>
      <c r="N32" s="214">
        <f>GETPIVOTDATA("Sum of Bidons 10litres",$A$5,"AGENCE","DGPC")</f>
        <v>0</v>
      </c>
      <c r="O32" s="213">
        <f>N32/N39</f>
        <v>0</v>
      </c>
      <c r="P32" s="214">
        <f>GETPIVOTDATA("Sum of Seaux",$A$5,"AGENCE","DGPC")</f>
        <v>0</v>
      </c>
      <c r="Q32" s="213">
        <f>P32/P39</f>
        <v>0</v>
      </c>
      <c r="R32" s="212">
        <f>GETPIVOTDATA("Sum of Moustiquaires ",$A$5,"AGENCE","DGPC")</f>
        <v>0</v>
      </c>
      <c r="S32" s="213">
        <f>R32/R39</f>
        <v>0</v>
      </c>
    </row>
    <row r="33" spans="1:19" s="5" customFormat="1" x14ac:dyDescent="0.25">
      <c r="A33" s="211" t="s">
        <v>1540</v>
      </c>
      <c r="B33" s="212">
        <f>GETPIVOTDATA("Sum of Tentes ",$A$5,"AGENCE","IOM")</f>
        <v>0</v>
      </c>
      <c r="C33" s="213">
        <f>B33/B39</f>
        <v>0</v>
      </c>
      <c r="D33" s="214">
        <f>GETPIVOTDATA("Sum of Matelas",$A$5,"AGENCE","IOM")</f>
        <v>0</v>
      </c>
      <c r="E33" s="213">
        <f>D33/D39</f>
        <v>0</v>
      </c>
      <c r="F33" s="214">
        <f>GETPIVOTDATA("Sum of Baches 4m x 5m ",$A$5,"AGENCE","IOM")</f>
        <v>0</v>
      </c>
      <c r="G33" s="213">
        <f>F33/F39</f>
        <v>0</v>
      </c>
      <c r="H33" s="214">
        <f>GETPIVOTDATA("Sum of Couvertures",$A$5,"AGENCE","IOM")</f>
        <v>718</v>
      </c>
      <c r="I33" s="213">
        <f>H33/H39</f>
        <v>2.1999571039004809E-2</v>
      </c>
      <c r="J33" s="214">
        <f>GETPIVOTDATA("Sum of Nattes",$A$5,"AGENCE","IOM")</f>
        <v>718</v>
      </c>
      <c r="K33" s="213">
        <f>J33/J39</f>
        <v>2.1660432001930734E-2</v>
      </c>
      <c r="L33" s="214">
        <f>GETPIVOTDATA("Sum of Kits cuisine",$A$5,"AGENCE","IOM")</f>
        <v>718</v>
      </c>
      <c r="M33" s="213">
        <f>L33/L39</f>
        <v>7.8307339949830954E-2</v>
      </c>
      <c r="N33" s="214">
        <f>GETPIVOTDATA("Sum of Bidons 10litres",$A$5,"AGENCE","IOM")</f>
        <v>718</v>
      </c>
      <c r="O33" s="213">
        <f>N33/N39</f>
        <v>0.13936335403726707</v>
      </c>
      <c r="P33" s="214">
        <f>GETPIVOTDATA("Sum of Seaux",$A$5,"AGENCE","IOM")</f>
        <v>718</v>
      </c>
      <c r="Q33" s="213">
        <f>P33/P39</f>
        <v>0.1971444261394838</v>
      </c>
      <c r="R33" s="212">
        <f>GETPIVOTDATA("Sum of Moustiquaires ",$A$5,"AGENCE","IOM")</f>
        <v>718</v>
      </c>
      <c r="S33" s="213">
        <f>R33/R39</f>
        <v>7.6668446342765623E-2</v>
      </c>
    </row>
    <row r="34" spans="1:19" s="5" customFormat="1" x14ac:dyDescent="0.25">
      <c r="A34" s="211" t="s">
        <v>1633</v>
      </c>
      <c r="B34" s="212">
        <f>GETPIVOTDATA("Sum of Tentes ",$A$5,"AGENCE","IRC")</f>
        <v>0</v>
      </c>
      <c r="C34" s="213">
        <f>B34/B39</f>
        <v>0</v>
      </c>
      <c r="D34" s="214">
        <f>GETPIVOTDATA("Sum of Matelas",$A$5,"AGENCE","IRC")</f>
        <v>0</v>
      </c>
      <c r="E34" s="213">
        <f>D34/D39</f>
        <v>0</v>
      </c>
      <c r="F34" s="214">
        <f>GETPIVOTDATA("Sum of Baches 4m x 5m ",$A$5,"AGENCE","IRC")</f>
        <v>200</v>
      </c>
      <c r="G34" s="213">
        <f>F34/F39</f>
        <v>2.7218290691344585E-2</v>
      </c>
      <c r="H34" s="214">
        <f>GETPIVOTDATA("Sum of Couvertures",$A$5,"AGENCE","IRC")</f>
        <v>400</v>
      </c>
      <c r="I34" s="213">
        <f>H34/H39</f>
        <v>1.2256028433985967E-2</v>
      </c>
      <c r="J34" s="214">
        <f>GETPIVOTDATA("Sum of Nattes",$A$5,"AGENCE","IRC")</f>
        <v>400</v>
      </c>
      <c r="K34" s="213">
        <f>J34/J39</f>
        <v>1.2067093037287318E-2</v>
      </c>
      <c r="L34" s="214">
        <f>GETPIVOTDATA("Sum of Kits cuisine",$A$5,"AGENCE","IRC")</f>
        <v>200</v>
      </c>
      <c r="M34" s="213">
        <f>L34/L39</f>
        <v>2.1812629512487729E-2</v>
      </c>
      <c r="N34" s="214">
        <f>GETPIVOTDATA("Sum of Bidons 10litres",$A$5,"AGENCE","IRC")</f>
        <v>0</v>
      </c>
      <c r="O34" s="213">
        <f>N34/N39</f>
        <v>0</v>
      </c>
      <c r="P34" s="214">
        <f>GETPIVOTDATA("Sum of Seaux",$A$5,"AGENCE","IRC")</f>
        <v>0</v>
      </c>
      <c r="Q34" s="213">
        <f>P34/P39</f>
        <v>0</v>
      </c>
      <c r="R34" s="212">
        <f>GETPIVOTDATA("Sum of Moustiquaires ",$A$5,"AGENCE","IRC")</f>
        <v>0</v>
      </c>
      <c r="S34" s="213">
        <f>R34/R39</f>
        <v>0</v>
      </c>
    </row>
    <row r="35" spans="1:19" s="5" customFormat="1" x14ac:dyDescent="0.25">
      <c r="A35" s="215" t="s">
        <v>1804</v>
      </c>
      <c r="B35" s="212">
        <f>GETPIVOTDATA("Sum of Tentes ",$A$5,"AGENCE","Médecin du Monde Belgique")</f>
        <v>0</v>
      </c>
      <c r="C35" s="213">
        <f>B35/B39</f>
        <v>0</v>
      </c>
      <c r="D35" s="214">
        <f>GETPIVOTDATA("Sum of Matelas",$A$5,"AGENCE","Médecin du Monde Belgique")</f>
        <v>0</v>
      </c>
      <c r="E35" s="213">
        <f>D35/D39</f>
        <v>0</v>
      </c>
      <c r="F35" s="214">
        <f>GETPIVOTDATA("Sum of Baches 4m x 5m ",$A$5,"AGENCE","Médecin du Monde Belgique")</f>
        <v>300</v>
      </c>
      <c r="G35" s="213">
        <f>F35/F39</f>
        <v>4.0827436037016877E-2</v>
      </c>
      <c r="H35" s="214">
        <f>GETPIVOTDATA("Sum of Couvertures",$A$5,"AGENCE","Médecin du Monde Belgique")</f>
        <v>600</v>
      </c>
      <c r="I35" s="213">
        <f>H35/H39</f>
        <v>1.8384042650978951E-2</v>
      </c>
      <c r="J35" s="214">
        <f>GETPIVOTDATA("Sum of Nattes",$A$5,"AGENCE","Médecin du Monde Belgique")</f>
        <v>600</v>
      </c>
      <c r="K35" s="213">
        <f>J35/J39</f>
        <v>1.8100639555930977E-2</v>
      </c>
      <c r="L35" s="214">
        <f>GETPIVOTDATA("Sum of Kits cuisine",$A$5,"AGENCE","Médecin du Monde Belgique")</f>
        <v>300</v>
      </c>
      <c r="M35" s="213">
        <f>L35/L39</f>
        <v>3.2718944268731592E-2</v>
      </c>
      <c r="N35" s="214">
        <f>GETPIVOTDATA("Sum of Bidons 10litres",$A$5,"AGENCE","Médecin du Monde Belgique")</f>
        <v>0</v>
      </c>
      <c r="O35" s="213">
        <f>N35/N39</f>
        <v>0</v>
      </c>
      <c r="P35" s="214">
        <f>GETPIVOTDATA("Sum of Seaux",$A$5,"AGENCE","Médecin du Monde Belgique")</f>
        <v>0</v>
      </c>
      <c r="Q35" s="213">
        <f>P35/P39</f>
        <v>0</v>
      </c>
      <c r="R35" s="212">
        <f>GETPIVOTDATA("Sum of Moustiquaires ",$A$5,"AGENCE","Médecin du Monde Belgique")</f>
        <v>0</v>
      </c>
      <c r="S35" s="213">
        <f>R35/R39</f>
        <v>0</v>
      </c>
    </row>
    <row r="36" spans="1:19" s="5" customFormat="1" x14ac:dyDescent="0.25">
      <c r="A36" s="215" t="s">
        <v>1805</v>
      </c>
      <c r="B36" s="212">
        <f>GETPIVOTDATA("Sum of Tentes ",$A$5,"AGENCE","Médecin du Monde France")</f>
        <v>0</v>
      </c>
      <c r="C36" s="213">
        <f>B36/B39</f>
        <v>0</v>
      </c>
      <c r="D36" s="214">
        <f>GETPIVOTDATA("Sum of Matelas",$A$5,"AGENCE","Médecin du Monde France")</f>
        <v>0</v>
      </c>
      <c r="E36" s="213">
        <f>D36/D39</f>
        <v>0</v>
      </c>
      <c r="F36" s="214">
        <f>GETPIVOTDATA("Sum of Baches 4m x 5m ",$A$5,"AGENCE","Médecin du Monde France")</f>
        <v>800</v>
      </c>
      <c r="G36" s="213">
        <f>F36/F39</f>
        <v>0.10887316276537834</v>
      </c>
      <c r="H36" s="214">
        <f>GETPIVOTDATA("Sum of Couvertures",$A$5,"AGENCE","Médecin du Monde France")</f>
        <v>1600</v>
      </c>
      <c r="I36" s="213">
        <f>H36/H39</f>
        <v>4.9024113735943869E-2</v>
      </c>
      <c r="J36" s="214">
        <f>GETPIVOTDATA("Sum of Nattes",$A$5,"AGENCE","Médecin du Monde France")</f>
        <v>1600</v>
      </c>
      <c r="K36" s="213">
        <f>J36/J39</f>
        <v>4.8268372149149273E-2</v>
      </c>
      <c r="L36" s="214">
        <f>GETPIVOTDATA("Sum of Kits cuisine",$A$5,"AGENCE","Médecin du Monde France")</f>
        <v>800</v>
      </c>
      <c r="M36" s="213">
        <f>L36/L39</f>
        <v>8.7250518049950918E-2</v>
      </c>
      <c r="N36" s="214">
        <f>GETPIVOTDATA("Sum of Bidons 10litres",$A$5,"AGENCE","Médecin du Monde France")</f>
        <v>0</v>
      </c>
      <c r="O36" s="213">
        <f>N36/N39</f>
        <v>0</v>
      </c>
      <c r="P36" s="214">
        <f>GETPIVOTDATA("Sum of Seaux",$A$5,"AGENCE","Médecin du Monde France")</f>
        <v>0</v>
      </c>
      <c r="Q36" s="213">
        <f>P36/P39</f>
        <v>0</v>
      </c>
      <c r="R36" s="212">
        <f>GETPIVOTDATA("Sum of Moustiquaires ",$A$5,"AGENCE","Médecin du Monde France")</f>
        <v>0</v>
      </c>
      <c r="S36" s="213">
        <f>R36/R39</f>
        <v>0</v>
      </c>
    </row>
    <row r="37" spans="1:19" s="5" customFormat="1" x14ac:dyDescent="0.25">
      <c r="A37" s="216" t="s">
        <v>1637</v>
      </c>
      <c r="B37" s="212">
        <f>GETPIVOTDATA("Sum of Tentes ",$A$5,"AGENCE","UNHCR")</f>
        <v>0</v>
      </c>
      <c r="C37" s="213">
        <f>B37/B39</f>
        <v>0</v>
      </c>
      <c r="D37" s="214">
        <f>GETPIVOTDATA("Sum of Matelas",$A$5,"AGENCE","UNHCR")</f>
        <v>0</v>
      </c>
      <c r="E37" s="213">
        <f>D37/D39</f>
        <v>0</v>
      </c>
      <c r="F37" s="214">
        <f>GETPIVOTDATA("Sum of Baches 4m x 5m ",$A$5,"AGENCE","UNHCR")</f>
        <v>1709</v>
      </c>
      <c r="G37" s="213">
        <f>F37/F39</f>
        <v>0.23258029395753946</v>
      </c>
      <c r="H37" s="214">
        <f>GETPIVOTDATA("Sum of Couvertures",$A$5,"AGENCE","UNHCR")</f>
        <v>8608</v>
      </c>
      <c r="I37" s="213">
        <f>H37/H39</f>
        <v>0.263749731899378</v>
      </c>
      <c r="J37" s="214">
        <f>GETPIVOTDATA("Sum of Nattes",$A$5,"AGENCE","UNHCR")</f>
        <v>5793</v>
      </c>
      <c r="K37" s="213">
        <f>J37/J39</f>
        <v>0.17476167491251357</v>
      </c>
      <c r="L37" s="214">
        <f>GETPIVOTDATA("Sum of Kits cuisine",$A$5,"AGENCE","UNHCR")</f>
        <v>743</v>
      </c>
      <c r="M37" s="213">
        <f>L37/L39</f>
        <v>8.1033918638891922E-2</v>
      </c>
      <c r="N37" s="214">
        <f>GETPIVOTDATA("Sum of Bidons 10litres",$A$5,"AGENCE","UNHCR")</f>
        <v>4434</v>
      </c>
      <c r="O37" s="213">
        <f>N37/N39</f>
        <v>0.86063664596273293</v>
      </c>
      <c r="P37" s="214">
        <f>GETPIVOTDATA("Sum of Seaux",$A$5,"AGENCE","UNHCR")</f>
        <v>2924</v>
      </c>
      <c r="Q37" s="213">
        <f>P37/P39</f>
        <v>0.8028555738605162</v>
      </c>
      <c r="R37" s="212">
        <f>GETPIVOTDATA("Sum of Moustiquaires ",$A$5,"AGENCE","UNHCR")</f>
        <v>5768</v>
      </c>
      <c r="S37" s="213">
        <f>R37/R39</f>
        <v>0.61591030432461291</v>
      </c>
    </row>
    <row r="38" spans="1:19" s="5" customFormat="1" x14ac:dyDescent="0.25">
      <c r="A38" s="211" t="s">
        <v>1634</v>
      </c>
      <c r="B38" s="212">
        <f>GETPIVOTDATA("Sum of Tentes ",$A$5,"AGENCE","USAID")</f>
        <v>0</v>
      </c>
      <c r="C38" s="213">
        <f>B38/B39</f>
        <v>0</v>
      </c>
      <c r="D38" s="214">
        <f>GETPIVOTDATA("Sum of Matelas",$A$5,"AGENCE","USAID")</f>
        <v>0</v>
      </c>
      <c r="E38" s="213">
        <f>D38/D39</f>
        <v>0</v>
      </c>
      <c r="F38" s="214">
        <f>GETPIVOTDATA("Sum of Baches 4m x 5m ",$A$5,"AGENCE","USAID")</f>
        <v>0</v>
      </c>
      <c r="G38" s="213">
        <f>F38/F39</f>
        <v>0</v>
      </c>
      <c r="H38" s="214">
        <f>GETPIVOTDATA("Sum of Couvertures",$A$5,"AGENCE","USAID")</f>
        <v>384</v>
      </c>
      <c r="I38" s="213">
        <f>H38/H39</f>
        <v>1.1765787296626529E-2</v>
      </c>
      <c r="J38" s="214">
        <f>GETPIVOTDATA("Sum of Nattes",$A$5,"AGENCE","USAID")</f>
        <v>384</v>
      </c>
      <c r="K38" s="213">
        <f>J38/J39</f>
        <v>1.1584409315795826E-2</v>
      </c>
      <c r="L38" s="214">
        <f>GETPIVOTDATA("Sum of Kits cuisine",$A$5,"AGENCE","USAID")</f>
        <v>192</v>
      </c>
      <c r="M38" s="213">
        <f>L38/L39</f>
        <v>2.0940124331988223E-2</v>
      </c>
      <c r="N38" s="214">
        <f>GETPIVOTDATA("Sum of Bidons 10litres",$A$5,"AGENCE","USAID")</f>
        <v>0</v>
      </c>
      <c r="O38" s="213">
        <f>N38/N39</f>
        <v>0</v>
      </c>
      <c r="P38" s="214">
        <f>GETPIVOTDATA("Sum of Seaux",$A$5,"AGENCE","USAID")</f>
        <v>0</v>
      </c>
      <c r="Q38" s="213">
        <f>P38/P39</f>
        <v>0</v>
      </c>
      <c r="R38" s="212">
        <f>GETPIVOTDATA("Sum of Moustiquaires ",$A$5,"AGENCE","USAID")</f>
        <v>0</v>
      </c>
      <c r="S38" s="213">
        <f>R38/R39</f>
        <v>0</v>
      </c>
    </row>
    <row r="39" spans="1:19" s="5" customFormat="1" x14ac:dyDescent="0.25">
      <c r="A39" s="217" t="s">
        <v>1788</v>
      </c>
      <c r="B39" s="218">
        <f>SUM(B26:B38)</f>
        <v>17</v>
      </c>
      <c r="C39" s="219">
        <f>SUM(C26:C38)</f>
        <v>1</v>
      </c>
      <c r="D39" s="220">
        <f>SUM(D26:D38)</f>
        <v>750</v>
      </c>
      <c r="E39" s="219">
        <f t="shared" ref="E39:G39" si="0">SUM(E26:E38)</f>
        <v>1</v>
      </c>
      <c r="F39" s="220">
        <f>SUM(F26:F38)</f>
        <v>7348</v>
      </c>
      <c r="G39" s="219">
        <f t="shared" si="0"/>
        <v>1</v>
      </c>
      <c r="H39" s="220">
        <f>SUM(H26:H38)</f>
        <v>32637</v>
      </c>
      <c r="I39" s="219">
        <f t="shared" ref="I39:R39" si="1">SUM(I26:I38)</f>
        <v>1</v>
      </c>
      <c r="J39" s="220">
        <f t="shared" si="1"/>
        <v>33148</v>
      </c>
      <c r="K39" s="219">
        <f>SUM(K26:K38)</f>
        <v>1</v>
      </c>
      <c r="L39" s="220">
        <f t="shared" si="1"/>
        <v>9169</v>
      </c>
      <c r="M39" s="219">
        <f t="shared" si="1"/>
        <v>1</v>
      </c>
      <c r="N39" s="220">
        <f t="shared" si="1"/>
        <v>5152</v>
      </c>
      <c r="O39" s="219">
        <f t="shared" si="1"/>
        <v>1</v>
      </c>
      <c r="P39" s="220">
        <f t="shared" si="1"/>
        <v>3642</v>
      </c>
      <c r="Q39" s="219">
        <f t="shared" si="1"/>
        <v>1</v>
      </c>
      <c r="R39" s="218">
        <f t="shared" si="1"/>
        <v>9365</v>
      </c>
      <c r="S39" s="219">
        <f>SUM(S26:S38)</f>
        <v>1</v>
      </c>
    </row>
    <row r="40" spans="1:19" x14ac:dyDescent="0.25">
      <c r="P40" s="182"/>
    </row>
  </sheetData>
  <mergeCells count="10">
    <mergeCell ref="A1:C2"/>
    <mergeCell ref="B24:C24"/>
    <mergeCell ref="D24:E24"/>
    <mergeCell ref="F24:G24"/>
    <mergeCell ref="H24:I24"/>
    <mergeCell ref="J24:K24"/>
    <mergeCell ref="L24:M24"/>
    <mergeCell ref="N24:O24"/>
    <mergeCell ref="P24:Q24"/>
    <mergeCell ref="R24:S24"/>
  </mergeCells>
  <dataValidations count="2">
    <dataValidation type="list" allowBlank="1" showInputMessage="1" showErrorMessage="1" sqref="A26:A28 A31:A34 A38">
      <formula1>Organisations</formula1>
    </dataValidation>
    <dataValidation type="list" allowBlank="1" showInputMessage="1" showErrorMessage="1" sqref="A37">
      <formula1>ORGANIZATION</formula1>
    </dataValidation>
  </dataValidations>
  <pageMargins left="0.7" right="0.7" top="0.75" bottom="0.75" header="0.3" footer="0.3"/>
  <pageSetup paperSize="9" orientation="portrait" r:id="rId2"/>
  <drawing r:id="rId3"/>
  <legacy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S31"/>
  <sheetViews>
    <sheetView topLeftCell="A4" zoomScale="110" zoomScaleNormal="110" workbookViewId="0">
      <selection activeCell="B30" sqref="B30"/>
    </sheetView>
  </sheetViews>
  <sheetFormatPr baseColWidth="10" defaultColWidth="9.140625" defaultRowHeight="15" x14ac:dyDescent="0.25"/>
  <cols>
    <col min="1" max="1" width="23.140625" customWidth="1"/>
    <col min="2" max="2" width="14.140625" customWidth="1"/>
    <col min="3" max="3" width="15" customWidth="1"/>
    <col min="4" max="4" width="13.85546875" customWidth="1"/>
    <col min="5" max="5" width="32.140625" customWidth="1"/>
    <col min="6" max="6" width="22.42578125" customWidth="1"/>
    <col min="7" max="7" width="18.85546875" customWidth="1"/>
    <col min="8" max="8" width="13.5703125" customWidth="1"/>
    <col min="9" max="9" width="17.85546875" customWidth="1"/>
    <col min="10" max="10" width="21" customWidth="1"/>
    <col min="11" max="11" width="13" customWidth="1"/>
    <col min="12" max="12" width="21.28515625" customWidth="1"/>
    <col min="13" max="19" width="10.42578125" customWidth="1"/>
  </cols>
  <sheetData>
    <row r="1" spans="1:12" x14ac:dyDescent="0.25">
      <c r="A1" s="246" t="s">
        <v>1722</v>
      </c>
      <c r="B1" s="247"/>
      <c r="C1" s="248"/>
    </row>
    <row r="2" spans="1:12" ht="15.75" thickBot="1" x14ac:dyDescent="0.3">
      <c r="A2" s="249"/>
      <c r="B2" s="250"/>
      <c r="C2" s="251"/>
      <c r="F2" s="146" t="s">
        <v>1796</v>
      </c>
    </row>
    <row r="3" spans="1:12" x14ac:dyDescent="0.25">
      <c r="D3" s="157" t="s">
        <v>1793</v>
      </c>
    </row>
    <row r="5" spans="1:12" hidden="1" x14ac:dyDescent="0.25">
      <c r="B5" s="94" t="s">
        <v>1747</v>
      </c>
    </row>
    <row r="6" spans="1:12" s="1" customFormat="1" hidden="1" x14ac:dyDescent="0.25">
      <c r="A6" s="161" t="s">
        <v>1743</v>
      </c>
      <c r="B6" s="1" t="s">
        <v>1746</v>
      </c>
      <c r="C6" s="1" t="s">
        <v>1755</v>
      </c>
      <c r="D6" s="1" t="s">
        <v>1791</v>
      </c>
      <c r="E6" s="1" t="s">
        <v>1792</v>
      </c>
      <c r="F6" s="1" t="s">
        <v>1754</v>
      </c>
      <c r="G6" s="1" t="s">
        <v>1748</v>
      </c>
      <c r="H6" s="1" t="s">
        <v>1753</v>
      </c>
      <c r="I6" s="1" t="s">
        <v>1752</v>
      </c>
      <c r="J6" s="1" t="s">
        <v>1751</v>
      </c>
      <c r="K6" s="1" t="s">
        <v>1750</v>
      </c>
      <c r="L6" s="1" t="s">
        <v>1749</v>
      </c>
    </row>
    <row r="7" spans="1:12" s="1" customFormat="1" hidden="1" x14ac:dyDescent="0.25">
      <c r="A7" s="12" t="s">
        <v>1464</v>
      </c>
      <c r="B7" s="97">
        <v>17</v>
      </c>
      <c r="C7" s="97">
        <v>50</v>
      </c>
      <c r="D7" s="97"/>
      <c r="E7" s="97">
        <v>2</v>
      </c>
      <c r="F7" s="97">
        <v>3449</v>
      </c>
      <c r="G7" s="97">
        <v>21561</v>
      </c>
      <c r="H7" s="97">
        <v>22569</v>
      </c>
      <c r="I7" s="97">
        <v>3189</v>
      </c>
      <c r="J7" s="97">
        <v>4434</v>
      </c>
      <c r="K7" s="97">
        <v>2924</v>
      </c>
      <c r="L7" s="97">
        <v>7247</v>
      </c>
    </row>
    <row r="8" spans="1:12" s="1" customFormat="1" hidden="1" x14ac:dyDescent="0.25">
      <c r="A8" s="12" t="s">
        <v>693</v>
      </c>
      <c r="B8" s="97"/>
      <c r="C8" s="97">
        <v>415</v>
      </c>
      <c r="D8" s="97"/>
      <c r="E8" s="97"/>
      <c r="F8" s="97">
        <v>262</v>
      </c>
      <c r="G8" s="97">
        <v>2174</v>
      </c>
      <c r="H8" s="97">
        <v>2089</v>
      </c>
      <c r="I8" s="97">
        <v>1412</v>
      </c>
      <c r="J8" s="97">
        <v>718</v>
      </c>
      <c r="K8" s="97">
        <v>718</v>
      </c>
      <c r="L8" s="97">
        <v>1548</v>
      </c>
    </row>
    <row r="9" spans="1:12" s="1" customFormat="1" hidden="1" x14ac:dyDescent="0.25">
      <c r="A9" s="12" t="s">
        <v>698</v>
      </c>
      <c r="B9" s="97"/>
      <c r="C9" s="97"/>
      <c r="D9" s="97"/>
      <c r="E9" s="97"/>
      <c r="F9" s="97">
        <v>500</v>
      </c>
      <c r="G9" s="97">
        <v>1150</v>
      </c>
      <c r="H9" s="97">
        <v>1000</v>
      </c>
      <c r="I9" s="97">
        <v>500</v>
      </c>
      <c r="J9" s="97"/>
      <c r="K9" s="97"/>
      <c r="L9" s="97"/>
    </row>
    <row r="10" spans="1:12" s="1" customFormat="1" hidden="1" x14ac:dyDescent="0.25">
      <c r="A10" s="12" t="s">
        <v>694</v>
      </c>
      <c r="B10" s="97"/>
      <c r="C10" s="97"/>
      <c r="D10" s="97"/>
      <c r="E10" s="97"/>
      <c r="F10" s="97">
        <v>240</v>
      </c>
      <c r="G10" s="97">
        <v>586</v>
      </c>
      <c r="H10" s="97">
        <v>546</v>
      </c>
      <c r="I10" s="97">
        <v>306</v>
      </c>
      <c r="J10" s="97"/>
      <c r="K10" s="97"/>
      <c r="L10" s="97"/>
    </row>
    <row r="11" spans="1:12" s="1" customFormat="1" hidden="1" x14ac:dyDescent="0.25">
      <c r="A11" s="12" t="s">
        <v>699</v>
      </c>
      <c r="B11" s="97"/>
      <c r="C11" s="97"/>
      <c r="D11" s="97"/>
      <c r="E11" s="97"/>
      <c r="F11" s="97">
        <v>400</v>
      </c>
      <c r="G11" s="97">
        <v>1022</v>
      </c>
      <c r="H11" s="97">
        <v>800</v>
      </c>
      <c r="I11" s="97">
        <v>400</v>
      </c>
      <c r="J11" s="97"/>
      <c r="K11" s="97"/>
      <c r="L11" s="97"/>
    </row>
    <row r="12" spans="1:12" s="1" customFormat="1" hidden="1" x14ac:dyDescent="0.25">
      <c r="A12" s="12" t="s">
        <v>1463</v>
      </c>
      <c r="B12" s="97"/>
      <c r="C12" s="97">
        <v>285</v>
      </c>
      <c r="D12" s="97"/>
      <c r="E12" s="97"/>
      <c r="F12" s="97">
        <v>80</v>
      </c>
      <c r="G12" s="97">
        <v>734</v>
      </c>
      <c r="H12" s="97">
        <v>734</v>
      </c>
      <c r="I12" s="97">
        <v>369</v>
      </c>
      <c r="J12" s="97"/>
      <c r="K12" s="97"/>
      <c r="L12" s="97">
        <v>570</v>
      </c>
    </row>
    <row r="13" spans="1:12" s="1" customFormat="1" hidden="1" x14ac:dyDescent="0.25">
      <c r="A13" s="12" t="s">
        <v>696</v>
      </c>
      <c r="B13" s="97"/>
      <c r="C13" s="97"/>
      <c r="D13" s="97"/>
      <c r="E13" s="97"/>
      <c r="F13" s="97">
        <v>597</v>
      </c>
      <c r="G13" s="97">
        <v>1704</v>
      </c>
      <c r="H13" s="97">
        <v>1704</v>
      </c>
      <c r="I13" s="97">
        <v>1107</v>
      </c>
      <c r="J13" s="97"/>
      <c r="K13" s="97"/>
      <c r="L13" s="97"/>
    </row>
    <row r="14" spans="1:12" s="1" customFormat="1" hidden="1" x14ac:dyDescent="0.25">
      <c r="A14" s="12" t="s">
        <v>695</v>
      </c>
      <c r="B14" s="97"/>
      <c r="C14" s="97"/>
      <c r="D14" s="97"/>
      <c r="E14" s="97"/>
      <c r="F14" s="97">
        <v>320</v>
      </c>
      <c r="G14" s="97">
        <v>706</v>
      </c>
      <c r="H14" s="97">
        <v>706</v>
      </c>
      <c r="I14" s="97">
        <v>386</v>
      </c>
      <c r="J14" s="97"/>
      <c r="K14" s="97"/>
      <c r="L14" s="97"/>
    </row>
    <row r="15" spans="1:12" s="1" customFormat="1" hidden="1" x14ac:dyDescent="0.25">
      <c r="A15" s="12" t="s">
        <v>697</v>
      </c>
      <c r="B15" s="97"/>
      <c r="C15" s="97"/>
      <c r="D15" s="97"/>
      <c r="E15" s="97"/>
      <c r="F15" s="97">
        <v>1500</v>
      </c>
      <c r="G15" s="97">
        <v>3000</v>
      </c>
      <c r="H15" s="97">
        <v>3000</v>
      </c>
      <c r="I15" s="97">
        <v>1500</v>
      </c>
      <c r="J15" s="97"/>
      <c r="K15" s="97"/>
      <c r="L15" s="97"/>
    </row>
    <row r="16" spans="1:12" s="1" customFormat="1" hidden="1" x14ac:dyDescent="0.25">
      <c r="A16" s="12" t="s">
        <v>1744</v>
      </c>
      <c r="B16" s="97"/>
      <c r="C16" s="97"/>
      <c r="D16" s="97"/>
      <c r="E16" s="97"/>
      <c r="F16" s="97"/>
      <c r="G16" s="97"/>
      <c r="H16" s="97"/>
      <c r="I16" s="97"/>
      <c r="J16" s="97"/>
      <c r="K16" s="97"/>
      <c r="L16" s="97"/>
    </row>
    <row r="17" spans="1:19" hidden="1" x14ac:dyDescent="0.25">
      <c r="A17" s="12" t="s">
        <v>1745</v>
      </c>
      <c r="B17" s="97">
        <v>17</v>
      </c>
      <c r="C17" s="97">
        <v>750</v>
      </c>
      <c r="D17" s="97"/>
      <c r="E17" s="97">
        <v>2</v>
      </c>
      <c r="F17" s="97">
        <v>7348</v>
      </c>
      <c r="G17" s="97">
        <v>32637</v>
      </c>
      <c r="H17" s="97">
        <v>33148</v>
      </c>
      <c r="I17" s="97">
        <v>9169</v>
      </c>
      <c r="J17" s="97">
        <v>5152</v>
      </c>
      <c r="K17" s="97">
        <v>3642</v>
      </c>
      <c r="L17" s="97">
        <v>9365</v>
      </c>
    </row>
    <row r="18" spans="1:19" x14ac:dyDescent="0.25">
      <c r="A18" s="165"/>
      <c r="B18" s="166"/>
      <c r="C18" s="166"/>
      <c r="D18" s="166"/>
      <c r="E18" s="166"/>
      <c r="F18" s="166"/>
      <c r="G18" s="166"/>
      <c r="H18" s="166"/>
      <c r="I18" s="166"/>
      <c r="J18" s="166"/>
      <c r="K18" s="166"/>
      <c r="L18" s="166"/>
    </row>
    <row r="19" spans="1:19" s="5" customFormat="1" x14ac:dyDescent="0.25">
      <c r="A19" s="187"/>
      <c r="B19" s="272" t="s">
        <v>1737</v>
      </c>
      <c r="C19" s="272"/>
      <c r="D19" s="272" t="s">
        <v>1446</v>
      </c>
      <c r="E19" s="272"/>
      <c r="F19" s="272" t="s">
        <v>1738</v>
      </c>
      <c r="G19" s="272"/>
      <c r="H19" s="272" t="s">
        <v>1449</v>
      </c>
      <c r="I19" s="272"/>
      <c r="J19" s="272" t="s">
        <v>1450</v>
      </c>
      <c r="K19" s="272"/>
      <c r="L19" s="272" t="s">
        <v>1452</v>
      </c>
      <c r="M19" s="272"/>
      <c r="N19" s="273" t="s">
        <v>1702</v>
      </c>
      <c r="O19" s="273"/>
      <c r="P19" s="273" t="s">
        <v>1453</v>
      </c>
      <c r="Q19" s="273"/>
      <c r="R19" s="273" t="s">
        <v>1454</v>
      </c>
      <c r="S19" s="273"/>
    </row>
    <row r="20" spans="1:19" s="183" customFormat="1" x14ac:dyDescent="0.25">
      <c r="A20" s="186" t="s">
        <v>1794</v>
      </c>
      <c r="B20" s="188" t="s">
        <v>1802</v>
      </c>
      <c r="C20" s="189" t="s">
        <v>1789</v>
      </c>
      <c r="D20" s="188" t="s">
        <v>1802</v>
      </c>
      <c r="E20" s="188" t="s">
        <v>1789</v>
      </c>
      <c r="F20" s="188" t="s">
        <v>1802</v>
      </c>
      <c r="G20" s="189" t="s">
        <v>1789</v>
      </c>
      <c r="H20" s="188" t="s">
        <v>1802</v>
      </c>
      <c r="I20" s="188" t="s">
        <v>1789</v>
      </c>
      <c r="J20" s="188" t="s">
        <v>1802</v>
      </c>
      <c r="K20" s="188" t="s">
        <v>1789</v>
      </c>
      <c r="L20" s="188" t="s">
        <v>1802</v>
      </c>
      <c r="M20" s="188" t="s">
        <v>1789</v>
      </c>
      <c r="N20" s="188" t="s">
        <v>1802</v>
      </c>
      <c r="O20" s="188" t="s">
        <v>1789</v>
      </c>
      <c r="P20" s="188" t="s">
        <v>1802</v>
      </c>
      <c r="Q20" s="188" t="s">
        <v>1789</v>
      </c>
      <c r="R20" s="188" t="s">
        <v>1802</v>
      </c>
      <c r="S20" s="188" t="s">
        <v>1789</v>
      </c>
    </row>
    <row r="21" spans="1:19" s="183" customFormat="1" x14ac:dyDescent="0.25">
      <c r="A21" s="185" t="s">
        <v>1464</v>
      </c>
      <c r="B21" s="180">
        <f>GETPIVOTDATA("Sum of Tentes ",$A$5,"REGION"," Région de  Mopti")</f>
        <v>17</v>
      </c>
      <c r="C21" s="171">
        <f>B21/B30</f>
        <v>1</v>
      </c>
      <c r="D21" s="180">
        <f>GETPIVOTDATA("Sum of Matelas",$A$5,"REGION"," Région de  Mopti")</f>
        <v>50</v>
      </c>
      <c r="E21" s="171">
        <f>D21/D30</f>
        <v>6.6666666666666666E-2</v>
      </c>
      <c r="F21" s="180">
        <f>GETPIVOTDATA("Sum of Baches 4m x 5m ",$A$5,"REGION"," Région de  Mopti")</f>
        <v>3449</v>
      </c>
      <c r="G21" s="171">
        <f>F21/F30</f>
        <v>0.46937942297223734</v>
      </c>
      <c r="H21" s="180">
        <f>GETPIVOTDATA("Sum of Couvertures",$A$5,"REGION"," Région de  Mopti")</f>
        <v>21561</v>
      </c>
      <c r="I21" s="171">
        <f>H21/H30</f>
        <v>0.66063057266292857</v>
      </c>
      <c r="J21" s="180">
        <f>GETPIVOTDATA("Sum of Nattes",$A$5,"REGION"," Région de  Mopti")</f>
        <v>22569</v>
      </c>
      <c r="K21" s="171">
        <f>J21/J30</f>
        <v>0.68085555689634369</v>
      </c>
      <c r="L21" s="180">
        <f>GETPIVOTDATA("Sum of Kits cuisine",$A$5,"REGION"," Région de  Mopti")</f>
        <v>3189</v>
      </c>
      <c r="M21" s="171">
        <f>L21/L30</f>
        <v>0.34780237757661686</v>
      </c>
      <c r="N21" s="8">
        <f>GETPIVOTDATA("Sum of Bidons 10litres",$A$5,"REGION"," Région de  Mopti")</f>
        <v>4434</v>
      </c>
      <c r="O21" s="171">
        <f>N21/N30</f>
        <v>0.86063664596273293</v>
      </c>
      <c r="P21" s="180">
        <f>GETPIVOTDATA("Sum of Seaux",$A$5,"REGION"," Région de  Mopti")</f>
        <v>2924</v>
      </c>
      <c r="Q21" s="171">
        <f>P21/P30</f>
        <v>0.8028555738605162</v>
      </c>
      <c r="R21" s="180">
        <f>GETPIVOTDATA("Sum of Moustiquaires ",$A$5,"REGION"," Région de  Mopti")</f>
        <v>7247</v>
      </c>
      <c r="S21" s="171">
        <f>R21/R30</f>
        <v>0.77383876134543517</v>
      </c>
    </row>
    <row r="22" spans="1:19" s="183" customFormat="1" x14ac:dyDescent="0.25">
      <c r="A22" s="185" t="s">
        <v>693</v>
      </c>
      <c r="B22" s="180">
        <f>GETPIVOTDATA("Sum of Tentes ",$A$5,"REGION"," Région de Bamako")</f>
        <v>0</v>
      </c>
      <c r="C22" s="171">
        <f>B22/B30</f>
        <v>0</v>
      </c>
      <c r="D22" s="180">
        <f>GETPIVOTDATA("Sum of Matelas",$A$5,"REGION"," Région de Bamako")</f>
        <v>415</v>
      </c>
      <c r="E22" s="171">
        <f>D22/D30</f>
        <v>0.55333333333333334</v>
      </c>
      <c r="F22" s="180">
        <f>GETPIVOTDATA("Sum of Baches 4m x 5m ",$A$5,"REGION"," Région de Bamako")</f>
        <v>262</v>
      </c>
      <c r="G22" s="171">
        <f>F22/F30</f>
        <v>3.5655960805661406E-2</v>
      </c>
      <c r="H22" s="180">
        <f>GETPIVOTDATA("Sum of Couvertures",$A$5,"REGION"," Région de Bamako")</f>
        <v>2174</v>
      </c>
      <c r="I22" s="171">
        <f>H22/H30</f>
        <v>6.6611514538713723E-2</v>
      </c>
      <c r="J22" s="180">
        <f>GETPIVOTDATA("Sum of Nattes",$A$5,"REGION"," Région de Bamako")</f>
        <v>2089</v>
      </c>
      <c r="K22" s="171">
        <f>J22/J30</f>
        <v>6.3020393387233017E-2</v>
      </c>
      <c r="L22" s="180">
        <f>GETPIVOTDATA("Sum of Kits cuisine",$A$5,"REGION"," Région de Bamako")</f>
        <v>1412</v>
      </c>
      <c r="M22" s="171">
        <f>L22/L30</f>
        <v>0.15399716435816338</v>
      </c>
      <c r="N22" s="180">
        <f>GETPIVOTDATA("Sum of Bidons 10litres",$A$5,"REGION"," Région de Bamako")</f>
        <v>718</v>
      </c>
      <c r="O22" s="171">
        <f>N22/N30</f>
        <v>0.13936335403726707</v>
      </c>
      <c r="P22" s="180">
        <f>GETPIVOTDATA("Sum of Seaux",$A$5,"REGION"," Région de Bamako")</f>
        <v>718</v>
      </c>
      <c r="Q22" s="171">
        <f>P22/P30</f>
        <v>0.1971444261394838</v>
      </c>
      <c r="R22" s="180">
        <f>GETPIVOTDATA("Sum of Moustiquaires ",$A$5,"REGION"," Région de Bamako")</f>
        <v>1548</v>
      </c>
      <c r="S22" s="171">
        <f>R22/R30</f>
        <v>0.16529631607047518</v>
      </c>
    </row>
    <row r="23" spans="1:19" s="183" customFormat="1" x14ac:dyDescent="0.25">
      <c r="A23" s="185" t="s">
        <v>698</v>
      </c>
      <c r="B23" s="180">
        <f>GETPIVOTDATA("Sum of Tentes ",$A$5,"REGION"," Région de Gao")</f>
        <v>0</v>
      </c>
      <c r="C23" s="171">
        <f>B23/B30</f>
        <v>0</v>
      </c>
      <c r="D23" s="180">
        <f>GETPIVOTDATA("Sum of Matelas",$A$5,"REGION"," Région de Gao")</f>
        <v>0</v>
      </c>
      <c r="E23" s="171">
        <f>D23/D30</f>
        <v>0</v>
      </c>
      <c r="F23" s="180">
        <f>GETPIVOTDATA("Sum of Baches 4m x 5m ",$A$5,"REGION"," Région de Gao")</f>
        <v>500</v>
      </c>
      <c r="G23" s="171">
        <f>F23/F30</f>
        <v>6.8045726728361455E-2</v>
      </c>
      <c r="H23" s="180">
        <f>GETPIVOTDATA("Sum of Couvertures",$A$5,"REGION"," Région de Gao")</f>
        <v>1150</v>
      </c>
      <c r="I23" s="171">
        <f>H23/H30</f>
        <v>3.5236081747709654E-2</v>
      </c>
      <c r="J23" s="180">
        <f>GETPIVOTDATA("Sum of Nattes",$A$5,"REGION"," Région de Gao")</f>
        <v>1000</v>
      </c>
      <c r="K23" s="171">
        <f>J23/J30</f>
        <v>3.0167732593218293E-2</v>
      </c>
      <c r="L23" s="180">
        <f>GETPIVOTDATA("Sum of Kits cuisine",$A$5,"REGION"," Région de Gao")</f>
        <v>500</v>
      </c>
      <c r="M23" s="171">
        <f>L23/L30</f>
        <v>5.4531573781219325E-2</v>
      </c>
      <c r="N23" s="180">
        <f>GETPIVOTDATA("Sum of Bidons 10litres",$A$5,"REGION"," Région de Gao")</f>
        <v>0</v>
      </c>
      <c r="O23" s="171">
        <f>N23/N30</f>
        <v>0</v>
      </c>
      <c r="P23" s="180">
        <f>GETPIVOTDATA("Sum of Seaux",$A$5,"REGION"," Région de Gao")</f>
        <v>0</v>
      </c>
      <c r="Q23" s="171">
        <f>P23/P30</f>
        <v>0</v>
      </c>
      <c r="R23" s="180">
        <f>GETPIVOTDATA("Sum of Moustiquaires ",$A$5,"REGION"," Région de Gao")</f>
        <v>0</v>
      </c>
      <c r="S23" s="171">
        <f>R23/R30</f>
        <v>0</v>
      </c>
    </row>
    <row r="24" spans="1:19" s="183" customFormat="1" x14ac:dyDescent="0.25">
      <c r="A24" s="185" t="s">
        <v>694</v>
      </c>
      <c r="B24" s="180">
        <f>GETPIVOTDATA("Sum of Tentes ",$A$5,"REGION"," Région de Kayes")</f>
        <v>0</v>
      </c>
      <c r="C24" s="171">
        <f>B24/B30</f>
        <v>0</v>
      </c>
      <c r="D24" s="180">
        <f>GETPIVOTDATA("Sum of Matelas",$A$5,"REGION"," Région de Kayes")</f>
        <v>0</v>
      </c>
      <c r="E24" s="171">
        <f>D24/D30</f>
        <v>0</v>
      </c>
      <c r="F24" s="180">
        <f>GETPIVOTDATA("Sum of Baches 4m x 5m ",$A$5,"REGION"," Région de Kayes")</f>
        <v>240</v>
      </c>
      <c r="G24" s="171">
        <f>F24/F30</f>
        <v>3.2661948829613499E-2</v>
      </c>
      <c r="H24" s="180">
        <f>GETPIVOTDATA("Sum of Couvertures",$A$5,"REGION"," Région de Kayes")</f>
        <v>586</v>
      </c>
      <c r="I24" s="171">
        <f>H24/H30</f>
        <v>1.7955081655789441E-2</v>
      </c>
      <c r="J24" s="180">
        <f>GETPIVOTDATA("Sum of Nattes",$A$5,"REGION"," Région de Kayes")</f>
        <v>546</v>
      </c>
      <c r="K24" s="171">
        <f>J24/J30</f>
        <v>1.6471581995897187E-2</v>
      </c>
      <c r="L24" s="180">
        <f>GETPIVOTDATA("Sum of Kits cuisine",$A$5,"REGION"," Région de Kayes")</f>
        <v>306</v>
      </c>
      <c r="M24" s="171">
        <f>L24/L30</f>
        <v>3.3373323154106224E-2</v>
      </c>
      <c r="N24" s="180">
        <f>GETPIVOTDATA("Sum of Bidons 10litres",$A$5,"REGION"," Région de Kayes")</f>
        <v>0</v>
      </c>
      <c r="O24" s="171">
        <f>N24/N30</f>
        <v>0</v>
      </c>
      <c r="P24" s="180">
        <f>GETPIVOTDATA("Sum of Seaux",$A$5,"REGION"," Région de Kayes")</f>
        <v>0</v>
      </c>
      <c r="Q24" s="171">
        <f>P24/P30</f>
        <v>0</v>
      </c>
      <c r="R24" s="180">
        <f>GETPIVOTDATA("Sum of Moustiquaires ",$A$5,"REGION"," Région de Kayes")</f>
        <v>0</v>
      </c>
      <c r="S24" s="171">
        <f>R24/R30</f>
        <v>0</v>
      </c>
    </row>
    <row r="25" spans="1:19" s="183" customFormat="1" x14ac:dyDescent="0.25">
      <c r="A25" s="185" t="s">
        <v>699</v>
      </c>
      <c r="B25" s="180">
        <f>GETPIVOTDATA("Sum of Tentes ",$A$5,"REGION"," Région de Kidal")</f>
        <v>0</v>
      </c>
      <c r="C25" s="171">
        <f>B25/B30</f>
        <v>0</v>
      </c>
      <c r="D25" s="180">
        <f>GETPIVOTDATA("Sum of Matelas",$A$5,"REGION"," Région de Kidal")</f>
        <v>0</v>
      </c>
      <c r="E25" s="171">
        <f>D25/D30</f>
        <v>0</v>
      </c>
      <c r="F25" s="180">
        <f>GETPIVOTDATA("Sum of Baches 4m x 5m ",$A$5,"REGION"," Région de Kidal")</f>
        <v>400</v>
      </c>
      <c r="G25" s="171">
        <f>F25/F30</f>
        <v>5.443658138268917E-2</v>
      </c>
      <c r="H25" s="180">
        <f>GETPIVOTDATA("Sum of Couvertures",$A$5,"REGION"," Région de Kidal")</f>
        <v>1022</v>
      </c>
      <c r="I25" s="171">
        <f>H25/H30</f>
        <v>3.1314152648834144E-2</v>
      </c>
      <c r="J25" s="180">
        <f>GETPIVOTDATA("Sum of Nattes",$A$5,"REGION"," Région de Kidal")</f>
        <v>800</v>
      </c>
      <c r="K25" s="171">
        <f>J25/J30</f>
        <v>2.4134186074574637E-2</v>
      </c>
      <c r="L25" s="184">
        <f>GETPIVOTDATA("Sum of Kits cuisine",$A$5,"REGION"," Région de Kidal")</f>
        <v>400</v>
      </c>
      <c r="M25" s="171">
        <f>L25/L30</f>
        <v>4.3625259024975459E-2</v>
      </c>
      <c r="N25" s="180">
        <f>GETPIVOTDATA("Sum of Bidons 10litres",$A$5,"REGION"," Région de Kidal")</f>
        <v>0</v>
      </c>
      <c r="O25" s="171">
        <f>N25/N30</f>
        <v>0</v>
      </c>
      <c r="P25" s="180">
        <f>GETPIVOTDATA("Sum of Seaux",$A$5,"REGION"," Région de Kidal")</f>
        <v>0</v>
      </c>
      <c r="Q25" s="171">
        <f>P25/P30</f>
        <v>0</v>
      </c>
      <c r="R25" s="180">
        <f>GETPIVOTDATA("Sum of Moustiquaires ",$A$5,"REGION"," Région de Kidal")</f>
        <v>0</v>
      </c>
      <c r="S25" s="171">
        <f>R25/R30</f>
        <v>0</v>
      </c>
    </row>
    <row r="26" spans="1:19" s="183" customFormat="1" x14ac:dyDescent="0.25">
      <c r="A26" s="185" t="s">
        <v>1463</v>
      </c>
      <c r="B26" s="180">
        <f>GETPIVOTDATA("Sum of Tentes ",$A$5,"REGION"," Région de Koulikoro")</f>
        <v>0</v>
      </c>
      <c r="C26" s="171">
        <f>B26/B30</f>
        <v>0</v>
      </c>
      <c r="D26" s="180">
        <f>GETPIVOTDATA("Sum of Matelas",$A$5,"REGION"," Région de Koulikoro")</f>
        <v>285</v>
      </c>
      <c r="E26" s="171">
        <f>D26/D30</f>
        <v>0.38</v>
      </c>
      <c r="F26" s="180">
        <f>GETPIVOTDATA("Sum of Baches 4m x 5m ",$A$5,"REGION"," Région de Koulikoro")</f>
        <v>80</v>
      </c>
      <c r="G26" s="171">
        <f>F26/F30</f>
        <v>1.0887316276537834E-2</v>
      </c>
      <c r="H26" s="180">
        <f>GETPIVOTDATA("Sum of Couvertures",$A$5,"REGION"," Région de Koulikoro")</f>
        <v>734</v>
      </c>
      <c r="I26" s="171">
        <f>H26/H30</f>
        <v>2.2489812176364248E-2</v>
      </c>
      <c r="J26" s="180">
        <f>GETPIVOTDATA("Sum of Nattes",$A$5,"REGION"," Région de Koulikoro")</f>
        <v>734</v>
      </c>
      <c r="K26" s="171">
        <f>J26/J30</f>
        <v>2.2143115723422226E-2</v>
      </c>
      <c r="L26" s="180">
        <f>GETPIVOTDATA("Sum of Kits cuisine",$A$5,"REGION"," Région de Koulikoro")</f>
        <v>369</v>
      </c>
      <c r="M26" s="171">
        <f>L26/L30</f>
        <v>4.0244301450539866E-2</v>
      </c>
      <c r="N26" s="180">
        <f>GETPIVOTDATA("Sum of Bidons 10litres",$A$5,"REGION"," Région de Koulikoro")</f>
        <v>0</v>
      </c>
      <c r="O26" s="171">
        <f>N26/N30</f>
        <v>0</v>
      </c>
      <c r="P26" s="180">
        <f>GETPIVOTDATA("Sum of Seaux",$A$5,"REGION"," Région de Koulikoro")</f>
        <v>0</v>
      </c>
      <c r="Q26" s="171">
        <f>P26/P30</f>
        <v>0</v>
      </c>
      <c r="R26" s="180">
        <f>GETPIVOTDATA("Sum of Moustiquaires ",$A$5,"REGION"," Région de Koulikoro")</f>
        <v>570</v>
      </c>
      <c r="S26" s="171">
        <f>R26/R30</f>
        <v>6.0864922584089695E-2</v>
      </c>
    </row>
    <row r="27" spans="1:19" s="183" customFormat="1" x14ac:dyDescent="0.25">
      <c r="A27" s="185" t="s">
        <v>696</v>
      </c>
      <c r="B27" s="180">
        <f>GETPIVOTDATA("Sum of Tentes ",$A$5,"REGION"," Région de Ségou")</f>
        <v>0</v>
      </c>
      <c r="C27" s="171">
        <f>B27/B30</f>
        <v>0</v>
      </c>
      <c r="D27" s="180">
        <f>GETPIVOTDATA("Sum of Matelas",$A$5,"REGION"," Région de Ségou")</f>
        <v>0</v>
      </c>
      <c r="E27" s="171">
        <f>D27/D30</f>
        <v>0</v>
      </c>
      <c r="F27" s="180">
        <f>GETPIVOTDATA("Sum of Baches 4m x 5m ",$A$5,"REGION"," Région de Ségou")</f>
        <v>597</v>
      </c>
      <c r="G27" s="171">
        <f>F27/F30</f>
        <v>8.1246597713663576E-2</v>
      </c>
      <c r="H27" s="180">
        <f>GETPIVOTDATA("Sum of Couvertures",$A$5,"REGION"," Région de Ségou")</f>
        <v>1704</v>
      </c>
      <c r="I27" s="171">
        <f>H27/H30</f>
        <v>5.2210681128780217E-2</v>
      </c>
      <c r="J27" s="180">
        <f>GETPIVOTDATA("Sum of Nattes",$A$5,"REGION"," Région de Ségou")</f>
        <v>1704</v>
      </c>
      <c r="K27" s="171">
        <f>J27/J30</f>
        <v>5.1405816338843974E-2</v>
      </c>
      <c r="L27" s="180">
        <f>GETPIVOTDATA("Sum of Kits cuisine",$A$5,"REGION"," Région de Ségou")</f>
        <v>1107</v>
      </c>
      <c r="M27" s="171">
        <f>L27/L30</f>
        <v>0.12073290435161958</v>
      </c>
      <c r="N27" s="180">
        <f>GETPIVOTDATA("Sum of Bidons 10litres",$A$5,"REGION"," Région de Ségou")</f>
        <v>0</v>
      </c>
      <c r="O27" s="171">
        <f>N27/N30</f>
        <v>0</v>
      </c>
      <c r="P27" s="180">
        <f>GETPIVOTDATA("Sum of Seaux",$A$5,"REGION"," Région de Ségou")</f>
        <v>0</v>
      </c>
      <c r="Q27" s="171">
        <f>P27/P30</f>
        <v>0</v>
      </c>
      <c r="R27" s="180">
        <f>GETPIVOTDATA("Sum of Moustiquaires ",$A$5,"REGION"," Région de Ségou")</f>
        <v>0</v>
      </c>
      <c r="S27" s="171">
        <f>R27/R30</f>
        <v>0</v>
      </c>
    </row>
    <row r="28" spans="1:19" s="183" customFormat="1" x14ac:dyDescent="0.25">
      <c r="A28" s="185" t="s">
        <v>695</v>
      </c>
      <c r="B28" s="180">
        <f>GETPIVOTDATA("Sum of Tentes ",$A$5,"REGION"," Région de Sikasso")</f>
        <v>0</v>
      </c>
      <c r="C28" s="171">
        <f>B28/B30</f>
        <v>0</v>
      </c>
      <c r="D28" s="180">
        <f>GETPIVOTDATA("Sum of Matelas",$A$5,"REGION"," Région de Sikasso")</f>
        <v>0</v>
      </c>
      <c r="E28" s="171">
        <f>D28/D30</f>
        <v>0</v>
      </c>
      <c r="F28" s="180">
        <f>GETPIVOTDATA("Sum of Baches 4m x 5m ",$A$5,"REGION"," Région de Sikasso")</f>
        <v>320</v>
      </c>
      <c r="G28" s="171">
        <f>F28/F30</f>
        <v>4.3549265106151334E-2</v>
      </c>
      <c r="H28" s="180">
        <f>GETPIVOTDATA("Sum of Couvertures",$A$5,"REGION"," Région de Sikasso")</f>
        <v>706</v>
      </c>
      <c r="I28" s="171">
        <f>H28/H30</f>
        <v>2.1631890185985232E-2</v>
      </c>
      <c r="J28" s="180">
        <f>GETPIVOTDATA("Sum of Nattes",$A$5,"REGION"," Région de Sikasso")</f>
        <v>706</v>
      </c>
      <c r="K28" s="171">
        <f>J28/J30</f>
        <v>2.1298419210812117E-2</v>
      </c>
      <c r="L28" s="180">
        <f>GETPIVOTDATA("Sum of Kits cuisine",$A$5,"REGION"," Région de Sikasso")</f>
        <v>386</v>
      </c>
      <c r="M28" s="171">
        <f>L28/L30</f>
        <v>4.209837495910132E-2</v>
      </c>
      <c r="N28" s="180">
        <f>GETPIVOTDATA("Sum of Bidons 10litres",$A$5,"REGION"," Région de Sikasso")</f>
        <v>0</v>
      </c>
      <c r="O28" s="171">
        <f>N28/N30</f>
        <v>0</v>
      </c>
      <c r="P28" s="180">
        <f>GETPIVOTDATA("Sum of Seaux",$A$5,"REGION"," Région de Sikasso")</f>
        <v>0</v>
      </c>
      <c r="Q28" s="171">
        <f>P28/P30</f>
        <v>0</v>
      </c>
      <c r="R28" s="180">
        <f>GETPIVOTDATA("Sum of Moustiquaires ",$A$5,"REGION"," Région de Sikasso")</f>
        <v>0</v>
      </c>
      <c r="S28" s="171">
        <f>R28/R30</f>
        <v>0</v>
      </c>
    </row>
    <row r="29" spans="1:19" s="183" customFormat="1" x14ac:dyDescent="0.25">
      <c r="A29" s="185" t="s">
        <v>697</v>
      </c>
      <c r="B29" s="180">
        <f>GETPIVOTDATA("Sum of Tentes ",$A$5,"REGION"," Région de Tombouctou")</f>
        <v>0</v>
      </c>
      <c r="C29" s="171">
        <f>B29/B30</f>
        <v>0</v>
      </c>
      <c r="D29" s="180">
        <f>GETPIVOTDATA("Sum of Matelas",$A$5,"REGION"," Région de Tombouctou")</f>
        <v>0</v>
      </c>
      <c r="E29" s="171">
        <f>D29/D30</f>
        <v>0</v>
      </c>
      <c r="F29" s="180">
        <f>GETPIVOTDATA("Sum of Baches 4m x 5m ",$A$5,"REGION"," Région de Tombouctou")</f>
        <v>1500</v>
      </c>
      <c r="G29" s="171">
        <f>F29/F30</f>
        <v>0.20413718018508437</v>
      </c>
      <c r="H29" s="180">
        <f>GETPIVOTDATA("Sum of Couvertures",$A$5,"REGION"," Région de Tombouctou")</f>
        <v>3000</v>
      </c>
      <c r="I29" s="171">
        <f>H29/H30</f>
        <v>9.1920213254894745E-2</v>
      </c>
      <c r="J29" s="180">
        <f>GETPIVOTDATA("Sum of Nattes",$A$5,"REGION"," Région de Tombouctou")</f>
        <v>3000</v>
      </c>
      <c r="K29" s="171">
        <f>J29/J30</f>
        <v>9.0503197779654876E-2</v>
      </c>
      <c r="L29" s="180">
        <f>GETPIVOTDATA("Sum of Kits cuisine",$A$5,"REGION"," Région de Tombouctou")</f>
        <v>1500</v>
      </c>
      <c r="M29" s="171">
        <f>L29/L30</f>
        <v>0.16359472134365799</v>
      </c>
      <c r="N29" s="180">
        <f>GETPIVOTDATA("Sum of Bidons 10litres",$A$5,"REGION"," Région de Tombouctou")</f>
        <v>0</v>
      </c>
      <c r="O29" s="171">
        <f>N29/N30</f>
        <v>0</v>
      </c>
      <c r="P29" s="180">
        <f>GETPIVOTDATA("Sum of Seaux",$A$5,"REGION"," Région de Tombouctou")</f>
        <v>0</v>
      </c>
      <c r="Q29" s="171">
        <f>P29/P30</f>
        <v>0</v>
      </c>
      <c r="R29" s="180">
        <f>GETPIVOTDATA("Sum of Moustiquaires ",$A$5,"REGION"," Région de Tombouctou")</f>
        <v>0</v>
      </c>
      <c r="S29" s="171">
        <f>R29/R30</f>
        <v>0</v>
      </c>
    </row>
    <row r="30" spans="1:19" s="183" customFormat="1" x14ac:dyDescent="0.25">
      <c r="A30" s="190" t="s">
        <v>1795</v>
      </c>
      <c r="B30" s="191">
        <f>SUM(B21:B29)</f>
        <v>17</v>
      </c>
      <c r="C30" s="192">
        <f>SUM(C21:C29)</f>
        <v>1</v>
      </c>
      <c r="D30" s="191">
        <f>SUM(D21:D29)</f>
        <v>750</v>
      </c>
      <c r="E30" s="192">
        <f t="shared" ref="E30:S30" si="0">SUM(E21:E29)</f>
        <v>1</v>
      </c>
      <c r="F30" s="191">
        <f t="shared" si="0"/>
        <v>7348</v>
      </c>
      <c r="G30" s="192">
        <f t="shared" si="0"/>
        <v>0.99999999999999978</v>
      </c>
      <c r="H30" s="191">
        <f t="shared" si="0"/>
        <v>32637</v>
      </c>
      <c r="I30" s="192">
        <f t="shared" si="0"/>
        <v>1</v>
      </c>
      <c r="J30" s="191">
        <f t="shared" si="0"/>
        <v>33148</v>
      </c>
      <c r="K30" s="192">
        <f t="shared" si="0"/>
        <v>0.99999999999999989</v>
      </c>
      <c r="L30" s="191">
        <f t="shared" si="0"/>
        <v>9169</v>
      </c>
      <c r="M30" s="192">
        <f t="shared" si="0"/>
        <v>1</v>
      </c>
      <c r="N30" s="191">
        <f t="shared" si="0"/>
        <v>5152</v>
      </c>
      <c r="O30" s="192">
        <f t="shared" si="0"/>
        <v>1</v>
      </c>
      <c r="P30" s="191">
        <f t="shared" si="0"/>
        <v>3642</v>
      </c>
      <c r="Q30" s="192">
        <f t="shared" si="0"/>
        <v>1</v>
      </c>
      <c r="R30" s="191">
        <f>SUM(R21:R29)</f>
        <v>9365</v>
      </c>
      <c r="S30" s="192">
        <f t="shared" si="0"/>
        <v>1</v>
      </c>
    </row>
    <row r="31" spans="1:19" x14ac:dyDescent="0.25">
      <c r="L31" s="182"/>
    </row>
  </sheetData>
  <mergeCells count="10">
    <mergeCell ref="A1:C2"/>
    <mergeCell ref="B19:C19"/>
    <mergeCell ref="D19:E19"/>
    <mergeCell ref="F19:G19"/>
    <mergeCell ref="H19:I19"/>
    <mergeCell ref="J19:K19"/>
    <mergeCell ref="L19:M19"/>
    <mergeCell ref="N19:O19"/>
    <mergeCell ref="P19:Q19"/>
    <mergeCell ref="R19:S19"/>
  </mergeCells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</sheetPr>
  <dimension ref="A1:E41"/>
  <sheetViews>
    <sheetView workbookViewId="0">
      <selection activeCell="A31" sqref="A31"/>
    </sheetView>
  </sheetViews>
  <sheetFormatPr baseColWidth="10" defaultColWidth="9.140625" defaultRowHeight="15" x14ac:dyDescent="0.25"/>
  <cols>
    <col min="1" max="1" width="27" customWidth="1"/>
    <col min="2" max="2" width="10.7109375" customWidth="1"/>
    <col min="3" max="5" width="12.140625" customWidth="1"/>
  </cols>
  <sheetData>
    <row r="1" spans="1:5" x14ac:dyDescent="0.25">
      <c r="A1" s="246" t="s">
        <v>1722</v>
      </c>
      <c r="B1" s="247"/>
      <c r="C1" s="248"/>
    </row>
    <row r="2" spans="1:5" ht="15.75" thickBot="1" x14ac:dyDescent="0.3">
      <c r="A2" s="249"/>
      <c r="B2" s="250"/>
      <c r="C2" s="251"/>
    </row>
    <row r="4" spans="1:5" ht="15.75" x14ac:dyDescent="0.25">
      <c r="A4" s="274" t="s">
        <v>1807</v>
      </c>
      <c r="B4" s="274"/>
      <c r="C4" s="274"/>
    </row>
    <row r="5" spans="1:5" x14ac:dyDescent="0.25">
      <c r="A5" s="168"/>
      <c r="D5" s="232"/>
    </row>
    <row r="6" spans="1:5" hidden="1" x14ac:dyDescent="0.25"/>
    <row r="7" spans="1:5" hidden="1" x14ac:dyDescent="0.25">
      <c r="B7" s="94" t="s">
        <v>1747</v>
      </c>
    </row>
    <row r="8" spans="1:5" hidden="1" x14ac:dyDescent="0.25">
      <c r="A8" s="161" t="s">
        <v>1787</v>
      </c>
      <c r="B8" s="1" t="s">
        <v>1801</v>
      </c>
      <c r="C8" s="1" t="s">
        <v>1800</v>
      </c>
      <c r="D8" s="158"/>
      <c r="E8" s="158"/>
    </row>
    <row r="9" spans="1:5" hidden="1" x14ac:dyDescent="0.25">
      <c r="A9" s="12" t="s">
        <v>1624</v>
      </c>
      <c r="B9" s="97">
        <v>1297</v>
      </c>
      <c r="C9" s="97">
        <v>8054</v>
      </c>
      <c r="D9" s="166"/>
      <c r="E9" s="166"/>
    </row>
    <row r="10" spans="1:5" hidden="1" x14ac:dyDescent="0.25">
      <c r="A10" s="12" t="s">
        <v>1647</v>
      </c>
      <c r="B10" s="97">
        <v>300</v>
      </c>
      <c r="C10" s="97">
        <v>1800</v>
      </c>
      <c r="D10" s="166"/>
      <c r="E10" s="166"/>
    </row>
    <row r="11" spans="1:5" hidden="1" x14ac:dyDescent="0.25">
      <c r="A11" s="12" t="s">
        <v>1646</v>
      </c>
      <c r="B11" s="97">
        <v>800</v>
      </c>
      <c r="C11" s="97">
        <v>4800</v>
      </c>
      <c r="D11" s="166"/>
      <c r="E11" s="166"/>
    </row>
    <row r="12" spans="1:5" hidden="1" x14ac:dyDescent="0.25">
      <c r="A12" s="12" t="s">
        <v>1599</v>
      </c>
      <c r="B12" s="97">
        <v>1002</v>
      </c>
      <c r="C12" s="97">
        <v>6012</v>
      </c>
      <c r="D12" s="166"/>
      <c r="E12" s="166"/>
    </row>
    <row r="13" spans="1:5" hidden="1" x14ac:dyDescent="0.25">
      <c r="A13" s="12" t="s">
        <v>1798</v>
      </c>
      <c r="B13" s="97">
        <v>2972</v>
      </c>
      <c r="C13" s="97">
        <v>22656</v>
      </c>
      <c r="D13" s="166"/>
      <c r="E13" s="166"/>
    </row>
    <row r="14" spans="1:5" hidden="1" x14ac:dyDescent="0.25">
      <c r="A14" s="12" t="s">
        <v>1584</v>
      </c>
      <c r="B14" s="97">
        <v>493</v>
      </c>
      <c r="C14" s="97">
        <v>8411</v>
      </c>
      <c r="D14" s="166"/>
      <c r="E14" s="166"/>
    </row>
    <row r="15" spans="1:5" hidden="1" x14ac:dyDescent="0.25">
      <c r="A15" s="12" t="s">
        <v>1635</v>
      </c>
      <c r="B15" s="97">
        <v>971</v>
      </c>
      <c r="C15" s="97">
        <v>5826</v>
      </c>
      <c r="D15" s="166"/>
      <c r="E15" s="166"/>
    </row>
    <row r="16" spans="1:5" hidden="1" x14ac:dyDescent="0.25">
      <c r="A16" s="12" t="s">
        <v>1540</v>
      </c>
      <c r="B16" s="97">
        <v>359</v>
      </c>
      <c r="C16" s="97">
        <v>2154</v>
      </c>
      <c r="D16" s="166"/>
      <c r="E16" s="166"/>
    </row>
    <row r="17" spans="1:5" hidden="1" x14ac:dyDescent="0.25">
      <c r="A17" s="12" t="s">
        <v>1633</v>
      </c>
      <c r="B17" s="97">
        <v>1000</v>
      </c>
      <c r="C17" s="97">
        <v>6000</v>
      </c>
      <c r="D17" s="166"/>
      <c r="E17" s="166"/>
    </row>
    <row r="18" spans="1:5" hidden="1" x14ac:dyDescent="0.25">
      <c r="A18" s="12" t="s">
        <v>1720</v>
      </c>
      <c r="B18" s="97">
        <v>300</v>
      </c>
      <c r="C18" s="97">
        <v>1800</v>
      </c>
      <c r="D18" s="166"/>
      <c r="E18" s="166"/>
    </row>
    <row r="19" spans="1:5" hidden="1" x14ac:dyDescent="0.25">
      <c r="A19" s="12" t="s">
        <v>1721</v>
      </c>
      <c r="B19" s="97">
        <v>700</v>
      </c>
      <c r="C19" s="97">
        <v>4200</v>
      </c>
      <c r="D19" s="166"/>
      <c r="E19" s="166"/>
    </row>
    <row r="20" spans="1:5" hidden="1" x14ac:dyDescent="0.25">
      <c r="A20" s="12" t="s">
        <v>1637</v>
      </c>
      <c r="B20" s="97">
        <v>4398</v>
      </c>
      <c r="C20" s="97">
        <v>26405</v>
      </c>
      <c r="D20" s="166"/>
      <c r="E20" s="166"/>
    </row>
    <row r="21" spans="1:5" hidden="1" x14ac:dyDescent="0.25">
      <c r="A21" s="12" t="s">
        <v>1634</v>
      </c>
      <c r="B21" s="97">
        <v>192</v>
      </c>
      <c r="C21" s="97">
        <v>1536</v>
      </c>
      <c r="D21" s="166"/>
      <c r="E21" s="166"/>
    </row>
    <row r="22" spans="1:5" hidden="1" x14ac:dyDescent="0.25">
      <c r="A22" s="12" t="s">
        <v>1744</v>
      </c>
      <c r="B22" s="97"/>
      <c r="C22" s="97"/>
      <c r="D22" s="166"/>
      <c r="E22" s="166"/>
    </row>
    <row r="23" spans="1:5" hidden="1" x14ac:dyDescent="0.25">
      <c r="A23" s="12" t="s">
        <v>1745</v>
      </c>
      <c r="B23" s="97">
        <v>14784</v>
      </c>
      <c r="C23" s="97">
        <v>99654</v>
      </c>
      <c r="D23" s="166"/>
      <c r="E23" s="166"/>
    </row>
    <row r="24" spans="1:5" hidden="1" x14ac:dyDescent="0.25"/>
    <row r="26" spans="1:5" x14ac:dyDescent="0.25">
      <c r="B26" s="175"/>
      <c r="C26" s="175"/>
      <c r="D26" s="175"/>
      <c r="E26" s="175"/>
    </row>
    <row r="27" spans="1:5" x14ac:dyDescent="0.25">
      <c r="A27" s="169" t="s">
        <v>1787</v>
      </c>
      <c r="B27" s="176" t="s">
        <v>1801</v>
      </c>
      <c r="C27" s="177" t="s">
        <v>1789</v>
      </c>
      <c r="D27" s="176" t="s">
        <v>1800</v>
      </c>
      <c r="E27" s="177" t="s">
        <v>1789</v>
      </c>
    </row>
    <row r="28" spans="1:5" x14ac:dyDescent="0.25">
      <c r="A28" s="193" t="s">
        <v>1624</v>
      </c>
      <c r="B28" s="178">
        <f>GETPIVOTDATA(" #  Familles",$A$7,"AGENCE","ACTED")</f>
        <v>1297</v>
      </c>
      <c r="C28" s="174">
        <f>B28/B41</f>
        <v>8.7729978354978352E-2</v>
      </c>
      <c r="D28" s="180">
        <f>+GETPIVOTDATA(" # Personnes",$A$7,"AGENCE","ACTED")</f>
        <v>8054</v>
      </c>
      <c r="E28" s="174">
        <f>D28/D41</f>
        <v>8.0819635940353629E-2</v>
      </c>
    </row>
    <row r="29" spans="1:5" x14ac:dyDescent="0.25">
      <c r="A29" s="193" t="s">
        <v>1647</v>
      </c>
      <c r="B29" s="178">
        <f>GETPIVOTDATA(" #  Familles",$A$7,"AGENCE","ALIMA")</f>
        <v>300</v>
      </c>
      <c r="C29" s="174">
        <f>B29/B41</f>
        <v>2.0292207792207792E-2</v>
      </c>
      <c r="D29" s="180">
        <f>+GETPIVOTDATA(" # Personnes",$A$7,"AGENCE","ALIMA")</f>
        <v>1800</v>
      </c>
      <c r="E29" s="174">
        <f>D29/D41</f>
        <v>1.806249623697995E-2</v>
      </c>
    </row>
    <row r="30" spans="1:5" x14ac:dyDescent="0.25">
      <c r="A30" s="193" t="s">
        <v>1646</v>
      </c>
      <c r="B30" s="178">
        <f>GETPIVOTDATA(" #  Familles",$A$7,"AGENCE","AVSF")</f>
        <v>800</v>
      </c>
      <c r="C30" s="174">
        <f>B30/B41</f>
        <v>5.4112554112554112E-2</v>
      </c>
      <c r="D30" s="180">
        <f>+GETPIVOTDATA(" # Personnes",$A$7,"AGENCE","AVSF")</f>
        <v>4800</v>
      </c>
      <c r="E30" s="174">
        <f>D30/D41</f>
        <v>4.8166656631946532E-2</v>
      </c>
    </row>
    <row r="31" spans="1:5" x14ac:dyDescent="0.25">
      <c r="A31" s="194" t="s">
        <v>1599</v>
      </c>
      <c r="B31" s="178">
        <f>GETPIVOTDATA(" #  Familles",$A$7,"AGENCE","CARE")</f>
        <v>1002</v>
      </c>
      <c r="C31" s="174">
        <f>B31/B41</f>
        <v>6.7775974025974031E-2</v>
      </c>
      <c r="D31" s="180">
        <f>+GETPIVOTDATA(" # Personnes",$A$7,"AGENCE","CARE")</f>
        <v>6012</v>
      </c>
      <c r="E31" s="174">
        <f>D31/D41</f>
        <v>6.0328737431513034E-2</v>
      </c>
    </row>
    <row r="32" spans="1:5" x14ac:dyDescent="0.25">
      <c r="A32" s="194" t="s">
        <v>1803</v>
      </c>
      <c r="B32" s="178">
        <f>GETPIVOTDATA(" #  Familles",$A$7,"AGENCE","Croix Rouge Malienne")</f>
        <v>2972</v>
      </c>
      <c r="C32" s="174">
        <f>B32/B41</f>
        <v>0.20102813852813853</v>
      </c>
      <c r="D32" s="180">
        <f>+GETPIVOTDATA(" # Personnes",$A$7,"AGENCE","Croix Rouge Malienne")</f>
        <v>22656</v>
      </c>
      <c r="E32" s="174">
        <f>D32/D41</f>
        <v>0.22734661930278766</v>
      </c>
    </row>
    <row r="33" spans="1:5" x14ac:dyDescent="0.25">
      <c r="A33" s="193" t="s">
        <v>1584</v>
      </c>
      <c r="B33" s="178">
        <f>GETPIVOTDATA(" #  Familles",$A$7,"AGENCE","CRS")</f>
        <v>493</v>
      </c>
      <c r="C33" s="174">
        <f>B33/B41</f>
        <v>3.3346861471861472E-2</v>
      </c>
      <c r="D33" s="180">
        <f>+GETPIVOTDATA(" # Personnes",$A$7,"AGENCE","CRS")</f>
        <v>8411</v>
      </c>
      <c r="E33" s="174">
        <f>D33/D41</f>
        <v>8.4402031027354649E-2</v>
      </c>
    </row>
    <row r="34" spans="1:5" x14ac:dyDescent="0.25">
      <c r="A34" s="193" t="s">
        <v>1635</v>
      </c>
      <c r="B34" s="178">
        <f>GETPIVOTDATA(" #  Familles",$A$7,"AGENCE","DGPC")</f>
        <v>971</v>
      </c>
      <c r="C34" s="174">
        <f>B34/B41</f>
        <v>6.5679112554112559E-2</v>
      </c>
      <c r="D34" s="180">
        <f>+GETPIVOTDATA(" # Personnes",$A$7,"AGENCE","DGPC")</f>
        <v>5826</v>
      </c>
      <c r="E34" s="174">
        <f>D34/D41</f>
        <v>5.8462279487025107E-2</v>
      </c>
    </row>
    <row r="35" spans="1:5" x14ac:dyDescent="0.25">
      <c r="A35" s="193" t="s">
        <v>1540</v>
      </c>
      <c r="B35" s="178">
        <f>GETPIVOTDATA(" #  Familles",$A$7,"AGENCE","IOM")</f>
        <v>359</v>
      </c>
      <c r="C35" s="174">
        <f>B35/B41</f>
        <v>2.428300865800866E-2</v>
      </c>
      <c r="D35" s="180">
        <f>+GETPIVOTDATA(" # Personnes",$A$7,"AGENCE","IOM")</f>
        <v>2154</v>
      </c>
      <c r="E35" s="174">
        <f>D35/D41</f>
        <v>2.1614787163586009E-2</v>
      </c>
    </row>
    <row r="36" spans="1:5" x14ac:dyDescent="0.25">
      <c r="A36" s="193" t="s">
        <v>1633</v>
      </c>
      <c r="B36" s="178">
        <f>GETPIVOTDATA(" #  Familles",$A$7,"AGENCE","IRC")</f>
        <v>1000</v>
      </c>
      <c r="C36" s="174">
        <f>B36/B41</f>
        <v>6.764069264069264E-2</v>
      </c>
      <c r="D36" s="180">
        <f>+GETPIVOTDATA(" # Personnes",$A$7,"AGENCE","IRC")</f>
        <v>6000</v>
      </c>
      <c r="E36" s="174">
        <f>D36/D41</f>
        <v>6.020832078993317E-2</v>
      </c>
    </row>
    <row r="37" spans="1:5" x14ac:dyDescent="0.25">
      <c r="A37" s="194" t="s">
        <v>1804</v>
      </c>
      <c r="B37" s="178">
        <f>GETPIVOTDATA(" #  Familles",$A$7,"AGENCE","Médecin du Monde Belgique")</f>
        <v>300</v>
      </c>
      <c r="C37" s="174">
        <f>B37/B41</f>
        <v>2.0292207792207792E-2</v>
      </c>
      <c r="D37" s="180">
        <f>+GETPIVOTDATA(" # Personnes",$A$7,"AGENCE","Médecin du Monde Belgique")</f>
        <v>1800</v>
      </c>
      <c r="E37" s="174">
        <f>D37/D41</f>
        <v>1.806249623697995E-2</v>
      </c>
    </row>
    <row r="38" spans="1:5" x14ac:dyDescent="0.25">
      <c r="A38" s="194" t="s">
        <v>1805</v>
      </c>
      <c r="B38" s="178">
        <f>GETPIVOTDATA(" #  Familles",$A$7,"AGENCE","Médecin du Monde France")</f>
        <v>700</v>
      </c>
      <c r="C38" s="174">
        <f>B38/B41</f>
        <v>4.7348484848484848E-2</v>
      </c>
      <c r="D38" s="180">
        <f>+GETPIVOTDATA(" # Personnes",$A$7,"AGENCE","Médecin du Monde France")</f>
        <v>4200</v>
      </c>
      <c r="E38" s="174">
        <f>D38/D41</f>
        <v>4.2145824552953216E-2</v>
      </c>
    </row>
    <row r="39" spans="1:5" x14ac:dyDescent="0.25">
      <c r="A39" s="195" t="s">
        <v>1637</v>
      </c>
      <c r="B39" s="178">
        <f>GETPIVOTDATA(" #  Familles",$A$7,"AGENCE","UNHCR")</f>
        <v>4398</v>
      </c>
      <c r="C39" s="174">
        <f>B39/B41</f>
        <v>0.29748376623376621</v>
      </c>
      <c r="D39" s="180">
        <f>+GETPIVOTDATA(" # Personnes",$A$7,"AGENCE","UNHCR")</f>
        <v>26405</v>
      </c>
      <c r="E39" s="174">
        <f>D39/D41</f>
        <v>0.26496678507636423</v>
      </c>
    </row>
    <row r="40" spans="1:5" x14ac:dyDescent="0.25">
      <c r="A40" s="193" t="s">
        <v>1634</v>
      </c>
      <c r="B40" s="178">
        <f>GETPIVOTDATA(" #  Familles",$A$7,"AGENCE","USAID")</f>
        <v>192</v>
      </c>
      <c r="C40" s="174">
        <f>B40/B41</f>
        <v>1.2987012987012988E-2</v>
      </c>
      <c r="D40" s="180">
        <f>+GETPIVOTDATA(" # Personnes",$A$7,"AGENCE","USAID")</f>
        <v>1536</v>
      </c>
      <c r="E40" s="174">
        <f>D40/D41</f>
        <v>1.5413330122222891E-2</v>
      </c>
    </row>
    <row r="41" spans="1:5" x14ac:dyDescent="0.25">
      <c r="A41" s="172" t="s">
        <v>1795</v>
      </c>
      <c r="B41" s="179">
        <f>SUM(B28:B40)</f>
        <v>14784</v>
      </c>
      <c r="C41" s="173">
        <f>SUM(C28:C40)</f>
        <v>0.99999999999999989</v>
      </c>
      <c r="D41" s="181">
        <f>SUM(D28:D40)</f>
        <v>99654</v>
      </c>
      <c r="E41" s="173">
        <f>SUM(E28:E40)</f>
        <v>1</v>
      </c>
    </row>
  </sheetData>
  <mergeCells count="2">
    <mergeCell ref="A1:C2"/>
    <mergeCell ref="A4:C4"/>
  </mergeCells>
  <dataValidations count="2">
    <dataValidation type="list" allowBlank="1" showInputMessage="1" showErrorMessage="1" sqref="A39">
      <formula1>ORGANIZATION</formula1>
    </dataValidation>
    <dataValidation type="list" allowBlank="1" showInputMessage="1" showErrorMessage="1" sqref="A28:A30 A33:A36 A40">
      <formula1>Organisations</formula1>
    </dataValidation>
  </dataValidations>
  <pageMargins left="0.7" right="0.7" top="0.75" bottom="0.75" header="0.3" footer="0.3"/>
  <pageSetup orientation="portrait" r:id="rId2"/>
  <drawing r:id="rId3"/>
  <legacyDrawing r:id="rId4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  <pageSetUpPr fitToPage="1"/>
  </sheetPr>
  <dimension ref="A1:F1020"/>
  <sheetViews>
    <sheetView topLeftCell="A102" workbookViewId="0">
      <selection activeCell="A112" sqref="A112"/>
    </sheetView>
  </sheetViews>
  <sheetFormatPr baseColWidth="10" defaultColWidth="11.42578125" defaultRowHeight="12.75" x14ac:dyDescent="0.2"/>
  <cols>
    <col min="1" max="1" width="62.5703125" style="32" bestFit="1" customWidth="1"/>
    <col min="2" max="2" width="11.42578125" style="19"/>
    <col min="3" max="3" width="17.5703125" style="19" bestFit="1" customWidth="1"/>
    <col min="4" max="4" width="22.28515625" style="19" bestFit="1" customWidth="1"/>
    <col min="5" max="5" width="9" style="19" bestFit="1" customWidth="1"/>
    <col min="6" max="6" width="10.42578125" style="19" bestFit="1" customWidth="1"/>
    <col min="7" max="16384" width="11.42578125" style="19"/>
  </cols>
  <sheetData>
    <row r="1" spans="1:6" ht="16.5" thickBot="1" x14ac:dyDescent="0.3">
      <c r="A1" s="30" t="s">
        <v>1713</v>
      </c>
      <c r="B1" s="29" t="s">
        <v>1649</v>
      </c>
      <c r="C1" s="98" t="s">
        <v>1711</v>
      </c>
      <c r="D1" s="103" t="s">
        <v>1741</v>
      </c>
      <c r="E1" s="104" t="s">
        <v>1729</v>
      </c>
      <c r="F1" s="105" t="s">
        <v>1730</v>
      </c>
    </row>
    <row r="2" spans="1:6" ht="15" x14ac:dyDescent="0.25">
      <c r="A2" s="21" t="s">
        <v>1628</v>
      </c>
      <c r="B2" s="28" t="s">
        <v>1648</v>
      </c>
      <c r="C2" s="99" t="s">
        <v>1728</v>
      </c>
      <c r="D2" s="106" t="s">
        <v>693</v>
      </c>
      <c r="E2" s="118">
        <v>6528</v>
      </c>
      <c r="F2" s="119">
        <v>51085</v>
      </c>
    </row>
    <row r="3" spans="1:6" ht="15" x14ac:dyDescent="0.25">
      <c r="A3" s="21" t="s">
        <v>1627</v>
      </c>
      <c r="B3" s="28" t="s">
        <v>1727</v>
      </c>
      <c r="C3" s="99" t="s">
        <v>1712</v>
      </c>
      <c r="D3" s="100" t="s">
        <v>1663</v>
      </c>
      <c r="E3" s="107">
        <v>1164</v>
      </c>
      <c r="F3" s="109">
        <v>10169</v>
      </c>
    </row>
    <row r="4" spans="1:6" ht="15" x14ac:dyDescent="0.25">
      <c r="A4" s="21" t="s">
        <v>1626</v>
      </c>
      <c r="D4" s="100" t="s">
        <v>1662</v>
      </c>
      <c r="E4" s="107">
        <v>810</v>
      </c>
      <c r="F4" s="109">
        <v>4615</v>
      </c>
    </row>
    <row r="5" spans="1:6" ht="15" x14ac:dyDescent="0.25">
      <c r="A5" s="21" t="s">
        <v>1625</v>
      </c>
      <c r="D5" s="101" t="s">
        <v>1661</v>
      </c>
      <c r="E5" s="107">
        <v>913</v>
      </c>
      <c r="F5" s="109">
        <v>6118</v>
      </c>
    </row>
    <row r="6" spans="1:6" ht="15" x14ac:dyDescent="0.25">
      <c r="A6" s="20" t="s">
        <v>1624</v>
      </c>
      <c r="D6" s="101" t="s">
        <v>1660</v>
      </c>
      <c r="E6" s="107">
        <v>542</v>
      </c>
      <c r="F6" s="109">
        <v>3880</v>
      </c>
    </row>
    <row r="7" spans="1:6" ht="15" x14ac:dyDescent="0.25">
      <c r="A7" s="21" t="s">
        <v>1623</v>
      </c>
      <c r="D7" s="101" t="s">
        <v>1659</v>
      </c>
      <c r="E7" s="107">
        <v>1350</v>
      </c>
      <c r="F7" s="108">
        <v>11096</v>
      </c>
    </row>
    <row r="8" spans="1:6" ht="15" x14ac:dyDescent="0.25">
      <c r="A8" s="21" t="s">
        <v>1622</v>
      </c>
      <c r="D8" s="101" t="s">
        <v>1658</v>
      </c>
      <c r="E8" s="107">
        <v>1749</v>
      </c>
      <c r="F8" s="109">
        <v>15207</v>
      </c>
    </row>
    <row r="9" spans="1:6" ht="15" x14ac:dyDescent="0.25">
      <c r="A9" s="21" t="s">
        <v>1621</v>
      </c>
      <c r="D9" s="110" t="s">
        <v>694</v>
      </c>
      <c r="E9" s="120">
        <v>345</v>
      </c>
      <c r="F9" s="112">
        <v>2240</v>
      </c>
    </row>
    <row r="10" spans="1:6" ht="15" x14ac:dyDescent="0.25">
      <c r="A10" s="21" t="s">
        <v>1620</v>
      </c>
      <c r="D10" s="110" t="s">
        <v>1463</v>
      </c>
      <c r="E10" s="111">
        <v>2011</v>
      </c>
      <c r="F10" s="112">
        <v>15870</v>
      </c>
    </row>
    <row r="11" spans="1:6" x14ac:dyDescent="0.2">
      <c r="A11" s="27" t="s">
        <v>1619</v>
      </c>
      <c r="D11" s="102" t="s">
        <v>1759</v>
      </c>
      <c r="E11" s="107">
        <v>1911</v>
      </c>
      <c r="F11" s="109">
        <v>15309</v>
      </c>
    </row>
    <row r="12" spans="1:6" x14ac:dyDescent="0.2">
      <c r="A12" s="22" t="s">
        <v>1618</v>
      </c>
      <c r="D12" s="102" t="s">
        <v>1758</v>
      </c>
      <c r="E12" s="107">
        <v>100</v>
      </c>
      <c r="F12" s="108">
        <v>561</v>
      </c>
    </row>
    <row r="13" spans="1:6" ht="15" x14ac:dyDescent="0.25">
      <c r="A13" s="20" t="s">
        <v>1647</v>
      </c>
      <c r="D13" s="110" t="s">
        <v>695</v>
      </c>
      <c r="E13" s="111">
        <v>1952</v>
      </c>
      <c r="F13" s="112">
        <v>12687</v>
      </c>
    </row>
    <row r="14" spans="1:6" ht="15" x14ac:dyDescent="0.25">
      <c r="A14" s="22" t="s">
        <v>1617</v>
      </c>
      <c r="D14" s="110" t="s">
        <v>696</v>
      </c>
      <c r="E14" s="111">
        <v>4555</v>
      </c>
      <c r="F14" s="112">
        <v>29606</v>
      </c>
    </row>
    <row r="15" spans="1:6" ht="15" x14ac:dyDescent="0.25">
      <c r="A15" s="21" t="s">
        <v>1616</v>
      </c>
      <c r="D15" s="110" t="s">
        <v>1464</v>
      </c>
      <c r="E15" s="111">
        <v>6162</v>
      </c>
      <c r="F15" s="112">
        <v>40056</v>
      </c>
    </row>
    <row r="16" spans="1:6" ht="15" x14ac:dyDescent="0.25">
      <c r="A16" s="21" t="s">
        <v>1615</v>
      </c>
      <c r="D16" s="110" t="s">
        <v>697</v>
      </c>
      <c r="E16" s="111">
        <v>3348</v>
      </c>
      <c r="F16" s="112">
        <v>21764</v>
      </c>
    </row>
    <row r="17" spans="1:6" ht="15" x14ac:dyDescent="0.25">
      <c r="A17" s="23" t="s">
        <v>1614</v>
      </c>
      <c r="D17" s="110" t="s">
        <v>698</v>
      </c>
      <c r="E17" s="113">
        <v>3255</v>
      </c>
      <c r="F17" s="114">
        <v>26920</v>
      </c>
    </row>
    <row r="18" spans="1:6" ht="15.75" thickBot="1" x14ac:dyDescent="0.3">
      <c r="A18" s="21" t="s">
        <v>1613</v>
      </c>
      <c r="D18" s="115" t="s">
        <v>699</v>
      </c>
      <c r="E18" s="116">
        <v>5729</v>
      </c>
      <c r="F18" s="117">
        <v>28645</v>
      </c>
    </row>
    <row r="19" spans="1:6" x14ac:dyDescent="0.2">
      <c r="A19" s="20" t="s">
        <v>1612</v>
      </c>
    </row>
    <row r="20" spans="1:6" x14ac:dyDescent="0.2">
      <c r="A20" s="21" t="s">
        <v>1611</v>
      </c>
    </row>
    <row r="21" spans="1:6" x14ac:dyDescent="0.2">
      <c r="A21" s="25" t="s">
        <v>1610</v>
      </c>
    </row>
    <row r="22" spans="1:6" x14ac:dyDescent="0.2">
      <c r="A22" s="25" t="s">
        <v>1609</v>
      </c>
    </row>
    <row r="23" spans="1:6" x14ac:dyDescent="0.2">
      <c r="A23" s="21" t="s">
        <v>1608</v>
      </c>
    </row>
    <row r="24" spans="1:6" x14ac:dyDescent="0.2">
      <c r="A24" s="21" t="s">
        <v>1607</v>
      </c>
    </row>
    <row r="25" spans="1:6" x14ac:dyDescent="0.2">
      <c r="A25" s="22" t="s">
        <v>1606</v>
      </c>
    </row>
    <row r="26" spans="1:6" x14ac:dyDescent="0.2">
      <c r="A26" s="21" t="s">
        <v>1605</v>
      </c>
    </row>
    <row r="27" spans="1:6" x14ac:dyDescent="0.2">
      <c r="A27" s="20" t="s">
        <v>1646</v>
      </c>
    </row>
    <row r="28" spans="1:6" x14ac:dyDescent="0.2">
      <c r="A28" s="21" t="s">
        <v>1604</v>
      </c>
    </row>
    <row r="29" spans="1:6" x14ac:dyDescent="0.2">
      <c r="A29" s="21" t="s">
        <v>1603</v>
      </c>
    </row>
    <row r="30" spans="1:6" x14ac:dyDescent="0.2">
      <c r="A30" s="21" t="s">
        <v>1602</v>
      </c>
    </row>
    <row r="31" spans="1:6" x14ac:dyDescent="0.2">
      <c r="A31" s="21" t="s">
        <v>1601</v>
      </c>
    </row>
    <row r="32" spans="1:6" x14ac:dyDescent="0.2">
      <c r="A32" s="21" t="s">
        <v>1600</v>
      </c>
    </row>
    <row r="33" spans="1:1" x14ac:dyDescent="0.2">
      <c r="A33" s="20" t="s">
        <v>1599</v>
      </c>
    </row>
    <row r="34" spans="1:1" x14ac:dyDescent="0.2">
      <c r="A34" s="21" t="s">
        <v>1598</v>
      </c>
    </row>
    <row r="35" spans="1:1" x14ac:dyDescent="0.2">
      <c r="A35" s="21" t="s">
        <v>1597</v>
      </c>
    </row>
    <row r="36" spans="1:1" x14ac:dyDescent="0.2">
      <c r="A36" s="21" t="s">
        <v>1596</v>
      </c>
    </row>
    <row r="37" spans="1:1" x14ac:dyDescent="0.2">
      <c r="A37" s="21" t="s">
        <v>1595</v>
      </c>
    </row>
    <row r="38" spans="1:1" x14ac:dyDescent="0.2">
      <c r="A38" s="21" t="s">
        <v>1594</v>
      </c>
    </row>
    <row r="39" spans="1:1" x14ac:dyDescent="0.2">
      <c r="A39" s="21" t="s">
        <v>1593</v>
      </c>
    </row>
    <row r="40" spans="1:1" x14ac:dyDescent="0.2">
      <c r="A40" s="21" t="s">
        <v>1591</v>
      </c>
    </row>
    <row r="41" spans="1:1" x14ac:dyDescent="0.2">
      <c r="A41" s="21" t="s">
        <v>1590</v>
      </c>
    </row>
    <row r="42" spans="1:1" x14ac:dyDescent="0.2">
      <c r="A42" s="21" t="s">
        <v>1592</v>
      </c>
    </row>
    <row r="43" spans="1:1" x14ac:dyDescent="0.2">
      <c r="A43" s="20" t="s">
        <v>1645</v>
      </c>
    </row>
    <row r="44" spans="1:1" x14ac:dyDescent="0.2">
      <c r="A44" s="21" t="s">
        <v>1589</v>
      </c>
    </row>
    <row r="45" spans="1:1" x14ac:dyDescent="0.2">
      <c r="A45" s="21" t="s">
        <v>1718</v>
      </c>
    </row>
    <row r="46" spans="1:1" x14ac:dyDescent="0.2">
      <c r="A46" s="21" t="s">
        <v>1588</v>
      </c>
    </row>
    <row r="47" spans="1:1" x14ac:dyDescent="0.2">
      <c r="A47" s="21" t="s">
        <v>1587</v>
      </c>
    </row>
    <row r="48" spans="1:1" x14ac:dyDescent="0.2">
      <c r="A48" s="21" t="s">
        <v>1799</v>
      </c>
    </row>
    <row r="49" spans="1:1" x14ac:dyDescent="0.2">
      <c r="A49" s="21" t="s">
        <v>1719</v>
      </c>
    </row>
    <row r="50" spans="1:1" x14ac:dyDescent="0.2">
      <c r="A50" s="20" t="s">
        <v>1798</v>
      </c>
    </row>
    <row r="51" spans="1:1" x14ac:dyDescent="0.2">
      <c r="A51" s="21" t="s">
        <v>1586</v>
      </c>
    </row>
    <row r="52" spans="1:1" x14ac:dyDescent="0.2">
      <c r="A52" s="21" t="s">
        <v>1585</v>
      </c>
    </row>
    <row r="53" spans="1:1" x14ac:dyDescent="0.2">
      <c r="A53" s="20" t="s">
        <v>1584</v>
      </c>
    </row>
    <row r="54" spans="1:1" x14ac:dyDescent="0.2">
      <c r="A54" s="21" t="s">
        <v>1583</v>
      </c>
    </row>
    <row r="55" spans="1:1" x14ac:dyDescent="0.2">
      <c r="A55" s="21" t="s">
        <v>1582</v>
      </c>
    </row>
    <row r="56" spans="1:1" x14ac:dyDescent="0.2">
      <c r="A56" s="21" t="s">
        <v>1581</v>
      </c>
    </row>
    <row r="57" spans="1:1" x14ac:dyDescent="0.2">
      <c r="A57" s="21" t="s">
        <v>1580</v>
      </c>
    </row>
    <row r="58" spans="1:1" x14ac:dyDescent="0.2">
      <c r="A58" s="21" t="s">
        <v>1579</v>
      </c>
    </row>
    <row r="59" spans="1:1" x14ac:dyDescent="0.2">
      <c r="A59" s="20" t="s">
        <v>1635</v>
      </c>
    </row>
    <row r="60" spans="1:1" x14ac:dyDescent="0.2">
      <c r="A60" s="21" t="s">
        <v>1578</v>
      </c>
    </row>
    <row r="61" spans="1:1" x14ac:dyDescent="0.2">
      <c r="A61" s="20" t="s">
        <v>1644</v>
      </c>
    </row>
    <row r="62" spans="1:1" x14ac:dyDescent="0.2">
      <c r="A62" s="20" t="s">
        <v>1643</v>
      </c>
    </row>
    <row r="63" spans="1:1" x14ac:dyDescent="0.2">
      <c r="A63" s="21" t="s">
        <v>1577</v>
      </c>
    </row>
    <row r="64" spans="1:1" x14ac:dyDescent="0.2">
      <c r="A64" s="26" t="s">
        <v>1575</v>
      </c>
    </row>
    <row r="65" spans="1:1" x14ac:dyDescent="0.2">
      <c r="A65" s="21" t="s">
        <v>1576</v>
      </c>
    </row>
    <row r="66" spans="1:1" x14ac:dyDescent="0.2">
      <c r="A66" s="21" t="s">
        <v>1574</v>
      </c>
    </row>
    <row r="67" spans="1:1" x14ac:dyDescent="0.2">
      <c r="A67" s="21" t="s">
        <v>1573</v>
      </c>
    </row>
    <row r="68" spans="1:1" x14ac:dyDescent="0.2">
      <c r="A68" s="21" t="s">
        <v>1572</v>
      </c>
    </row>
    <row r="69" spans="1:1" x14ac:dyDescent="0.2">
      <c r="A69" s="21" t="s">
        <v>1571</v>
      </c>
    </row>
    <row r="70" spans="1:1" x14ac:dyDescent="0.2">
      <c r="A70" s="21" t="s">
        <v>1570</v>
      </c>
    </row>
    <row r="71" spans="1:1" x14ac:dyDescent="0.2">
      <c r="A71" s="21" t="s">
        <v>1569</v>
      </c>
    </row>
    <row r="72" spans="1:1" x14ac:dyDescent="0.2">
      <c r="A72" s="21" t="s">
        <v>1568</v>
      </c>
    </row>
    <row r="73" spans="1:1" x14ac:dyDescent="0.2">
      <c r="A73" s="21" t="s">
        <v>1567</v>
      </c>
    </row>
    <row r="74" spans="1:1" x14ac:dyDescent="0.2">
      <c r="A74" s="21" t="s">
        <v>1566</v>
      </c>
    </row>
    <row r="75" spans="1:1" x14ac:dyDescent="0.2">
      <c r="A75" s="21" t="s">
        <v>1565</v>
      </c>
    </row>
    <row r="76" spans="1:1" x14ac:dyDescent="0.2">
      <c r="A76" s="21" t="s">
        <v>1564</v>
      </c>
    </row>
    <row r="77" spans="1:1" x14ac:dyDescent="0.2">
      <c r="A77" s="21" t="s">
        <v>1563</v>
      </c>
    </row>
    <row r="78" spans="1:1" x14ac:dyDescent="0.2">
      <c r="A78" s="21" t="s">
        <v>1562</v>
      </c>
    </row>
    <row r="79" spans="1:1" x14ac:dyDescent="0.2">
      <c r="A79" s="21" t="s">
        <v>1561</v>
      </c>
    </row>
    <row r="80" spans="1:1" x14ac:dyDescent="0.2">
      <c r="A80" s="21" t="s">
        <v>1560</v>
      </c>
    </row>
    <row r="81" spans="1:1" x14ac:dyDescent="0.2">
      <c r="A81" s="21" t="s">
        <v>1559</v>
      </c>
    </row>
    <row r="82" spans="1:1" x14ac:dyDescent="0.2">
      <c r="A82" s="21" t="s">
        <v>1558</v>
      </c>
    </row>
    <row r="83" spans="1:1" x14ac:dyDescent="0.2">
      <c r="A83" s="21" t="s">
        <v>1557</v>
      </c>
    </row>
    <row r="84" spans="1:1" x14ac:dyDescent="0.2">
      <c r="A84" s="21" t="s">
        <v>1556</v>
      </c>
    </row>
    <row r="85" spans="1:1" x14ac:dyDescent="0.2">
      <c r="A85" s="21" t="s">
        <v>1555</v>
      </c>
    </row>
    <row r="86" spans="1:1" x14ac:dyDescent="0.2">
      <c r="A86" s="21" t="s">
        <v>1554</v>
      </c>
    </row>
    <row r="87" spans="1:1" x14ac:dyDescent="0.2">
      <c r="A87" s="21" t="s">
        <v>1553</v>
      </c>
    </row>
    <row r="88" spans="1:1" x14ac:dyDescent="0.2">
      <c r="A88" s="21" t="s">
        <v>1552</v>
      </c>
    </row>
    <row r="89" spans="1:1" x14ac:dyDescent="0.2">
      <c r="A89" s="21" t="s">
        <v>1550</v>
      </c>
    </row>
    <row r="90" spans="1:1" x14ac:dyDescent="0.2">
      <c r="A90" s="21" t="s">
        <v>1551</v>
      </c>
    </row>
    <row r="91" spans="1:1" x14ac:dyDescent="0.2">
      <c r="A91" s="21" t="s">
        <v>1549</v>
      </c>
    </row>
    <row r="92" spans="1:1" x14ac:dyDescent="0.2">
      <c r="A92" s="21" t="s">
        <v>1548</v>
      </c>
    </row>
    <row r="93" spans="1:1" x14ac:dyDescent="0.2">
      <c r="A93" s="21" t="s">
        <v>1547</v>
      </c>
    </row>
    <row r="94" spans="1:1" x14ac:dyDescent="0.2">
      <c r="A94" s="21" t="s">
        <v>1546</v>
      </c>
    </row>
    <row r="95" spans="1:1" x14ac:dyDescent="0.2">
      <c r="A95" s="21" t="s">
        <v>1545</v>
      </c>
    </row>
    <row r="96" spans="1:1" x14ac:dyDescent="0.2">
      <c r="A96" s="24" t="s">
        <v>1544</v>
      </c>
    </row>
    <row r="97" spans="1:1" x14ac:dyDescent="0.2">
      <c r="A97" s="24" t="s">
        <v>1543</v>
      </c>
    </row>
    <row r="98" spans="1:1" x14ac:dyDescent="0.2">
      <c r="A98" s="24" t="s">
        <v>1542</v>
      </c>
    </row>
    <row r="99" spans="1:1" x14ac:dyDescent="0.2">
      <c r="A99" s="21" t="s">
        <v>1541</v>
      </c>
    </row>
    <row r="100" spans="1:1" x14ac:dyDescent="0.2">
      <c r="A100" s="20" t="s">
        <v>1642</v>
      </c>
    </row>
    <row r="101" spans="1:1" x14ac:dyDescent="0.2">
      <c r="A101" s="20" t="s">
        <v>1540</v>
      </c>
    </row>
    <row r="102" spans="1:1" x14ac:dyDescent="0.2">
      <c r="A102" s="21" t="s">
        <v>1539</v>
      </c>
    </row>
    <row r="103" spans="1:1" x14ac:dyDescent="0.2">
      <c r="A103" s="21" t="s">
        <v>1538</v>
      </c>
    </row>
    <row r="104" spans="1:1" x14ac:dyDescent="0.2">
      <c r="A104" s="20" t="s">
        <v>1633</v>
      </c>
    </row>
    <row r="105" spans="1:1" x14ac:dyDescent="0.2">
      <c r="A105" s="21" t="s">
        <v>1537</v>
      </c>
    </row>
    <row r="106" spans="1:1" x14ac:dyDescent="0.2">
      <c r="A106" s="20" t="s">
        <v>1641</v>
      </c>
    </row>
    <row r="107" spans="1:1" x14ac:dyDescent="0.2">
      <c r="A107" s="24" t="s">
        <v>1536</v>
      </c>
    </row>
    <row r="108" spans="1:1" x14ac:dyDescent="0.2">
      <c r="A108" s="21" t="s">
        <v>1535</v>
      </c>
    </row>
    <row r="109" spans="1:1" x14ac:dyDescent="0.2">
      <c r="A109" s="21" t="s">
        <v>1534</v>
      </c>
    </row>
    <row r="110" spans="1:1" x14ac:dyDescent="0.2">
      <c r="A110" s="20" t="s">
        <v>1632</v>
      </c>
    </row>
    <row r="111" spans="1:1" x14ac:dyDescent="0.2">
      <c r="A111" s="20" t="s">
        <v>1804</v>
      </c>
    </row>
    <row r="112" spans="1:1" x14ac:dyDescent="0.2">
      <c r="A112" s="20" t="s">
        <v>1805</v>
      </c>
    </row>
    <row r="113" spans="1:1" x14ac:dyDescent="0.2">
      <c r="A113" s="21" t="s">
        <v>1533</v>
      </c>
    </row>
    <row r="114" spans="1:1" x14ac:dyDescent="0.2">
      <c r="A114" s="21" t="s">
        <v>1532</v>
      </c>
    </row>
    <row r="115" spans="1:1" x14ac:dyDescent="0.2">
      <c r="A115" s="21" t="s">
        <v>1531</v>
      </c>
    </row>
    <row r="116" spans="1:1" x14ac:dyDescent="0.2">
      <c r="A116" s="21" t="s">
        <v>1530</v>
      </c>
    </row>
    <row r="117" spans="1:1" x14ac:dyDescent="0.2">
      <c r="A117" s="21" t="s">
        <v>1529</v>
      </c>
    </row>
    <row r="118" spans="1:1" x14ac:dyDescent="0.2">
      <c r="A118" s="21" t="s">
        <v>1528</v>
      </c>
    </row>
    <row r="119" spans="1:1" x14ac:dyDescent="0.2">
      <c r="A119" s="21" t="s">
        <v>1527</v>
      </c>
    </row>
    <row r="120" spans="1:1" x14ac:dyDescent="0.2">
      <c r="A120" s="20" t="s">
        <v>1640</v>
      </c>
    </row>
    <row r="121" spans="1:1" x14ac:dyDescent="0.2">
      <c r="A121" s="21" t="s">
        <v>1526</v>
      </c>
    </row>
    <row r="122" spans="1:1" x14ac:dyDescent="0.2">
      <c r="A122" s="21" t="s">
        <v>1525</v>
      </c>
    </row>
    <row r="123" spans="1:1" x14ac:dyDescent="0.2">
      <c r="A123" s="21" t="s">
        <v>1524</v>
      </c>
    </row>
    <row r="124" spans="1:1" x14ac:dyDescent="0.2">
      <c r="A124" s="21" t="s">
        <v>1523</v>
      </c>
    </row>
    <row r="125" spans="1:1" x14ac:dyDescent="0.2">
      <c r="A125" s="20" t="s">
        <v>1639</v>
      </c>
    </row>
    <row r="126" spans="1:1" x14ac:dyDescent="0.2">
      <c r="A126" s="20" t="s">
        <v>1636</v>
      </c>
    </row>
    <row r="127" spans="1:1" x14ac:dyDescent="0.2">
      <c r="A127" s="22" t="s">
        <v>1522</v>
      </c>
    </row>
    <row r="128" spans="1:1" x14ac:dyDescent="0.2">
      <c r="A128" s="20" t="s">
        <v>1716</v>
      </c>
    </row>
    <row r="129" spans="1:1" x14ac:dyDescent="0.2">
      <c r="A129" s="20" t="s">
        <v>1630</v>
      </c>
    </row>
    <row r="130" spans="1:1" x14ac:dyDescent="0.2">
      <c r="A130" s="22" t="s">
        <v>1521</v>
      </c>
    </row>
    <row r="131" spans="1:1" x14ac:dyDescent="0.2">
      <c r="A131" s="22" t="s">
        <v>1520</v>
      </c>
    </row>
    <row r="132" spans="1:1" x14ac:dyDescent="0.2">
      <c r="A132" s="22" t="s">
        <v>1519</v>
      </c>
    </row>
    <row r="133" spans="1:1" x14ac:dyDescent="0.2">
      <c r="A133" s="22" t="s">
        <v>1518</v>
      </c>
    </row>
    <row r="134" spans="1:1" x14ac:dyDescent="0.2">
      <c r="A134" s="23" t="s">
        <v>1517</v>
      </c>
    </row>
    <row r="135" spans="1:1" x14ac:dyDescent="0.2">
      <c r="A135" s="21" t="s">
        <v>1516</v>
      </c>
    </row>
    <row r="136" spans="1:1" x14ac:dyDescent="0.2">
      <c r="A136" s="21" t="s">
        <v>1515</v>
      </c>
    </row>
    <row r="137" spans="1:1" x14ac:dyDescent="0.2">
      <c r="A137" s="20" t="s">
        <v>1629</v>
      </c>
    </row>
    <row r="138" spans="1:1" x14ac:dyDescent="0.2">
      <c r="A138" s="21" t="s">
        <v>1514</v>
      </c>
    </row>
    <row r="139" spans="1:1" x14ac:dyDescent="0.2">
      <c r="A139" s="23" t="s">
        <v>1513</v>
      </c>
    </row>
    <row r="140" spans="1:1" x14ac:dyDescent="0.2">
      <c r="A140" s="21" t="s">
        <v>1512</v>
      </c>
    </row>
    <row r="141" spans="1:1" x14ac:dyDescent="0.2">
      <c r="A141" s="21" t="s">
        <v>1511</v>
      </c>
    </row>
    <row r="142" spans="1:1" x14ac:dyDescent="0.2">
      <c r="A142" s="20" t="s">
        <v>1638</v>
      </c>
    </row>
    <row r="143" spans="1:1" x14ac:dyDescent="0.2">
      <c r="A143" s="21" t="s">
        <v>1510</v>
      </c>
    </row>
    <row r="144" spans="1:1" x14ac:dyDescent="0.2">
      <c r="A144" s="21" t="s">
        <v>1509</v>
      </c>
    </row>
    <row r="145" spans="1:1" x14ac:dyDescent="0.2">
      <c r="A145" s="21" t="s">
        <v>1508</v>
      </c>
    </row>
    <row r="146" spans="1:1" x14ac:dyDescent="0.2">
      <c r="A146" s="21" t="s">
        <v>1507</v>
      </c>
    </row>
    <row r="147" spans="1:1" x14ac:dyDescent="0.2">
      <c r="A147" s="21" t="s">
        <v>1506</v>
      </c>
    </row>
    <row r="148" spans="1:1" x14ac:dyDescent="0.2">
      <c r="A148" s="21" t="s">
        <v>1505</v>
      </c>
    </row>
    <row r="149" spans="1:1" x14ac:dyDescent="0.2">
      <c r="A149" s="21" t="s">
        <v>1504</v>
      </c>
    </row>
    <row r="150" spans="1:1" x14ac:dyDescent="0.2">
      <c r="A150" s="20" t="s">
        <v>1503</v>
      </c>
    </row>
    <row r="151" spans="1:1" x14ac:dyDescent="0.2">
      <c r="A151" s="21" t="s">
        <v>1502</v>
      </c>
    </row>
    <row r="152" spans="1:1" x14ac:dyDescent="0.2">
      <c r="A152" s="21" t="s">
        <v>1501</v>
      </c>
    </row>
    <row r="153" spans="1:1" x14ac:dyDescent="0.2">
      <c r="A153" s="21" t="s">
        <v>1500</v>
      </c>
    </row>
    <row r="154" spans="1:1" x14ac:dyDescent="0.2">
      <c r="A154" s="21" t="s">
        <v>1499</v>
      </c>
    </row>
    <row r="155" spans="1:1" x14ac:dyDescent="0.2">
      <c r="A155" s="21" t="s">
        <v>1498</v>
      </c>
    </row>
    <row r="156" spans="1:1" x14ac:dyDescent="0.2">
      <c r="A156" s="21" t="s">
        <v>1497</v>
      </c>
    </row>
    <row r="157" spans="1:1" x14ac:dyDescent="0.2">
      <c r="A157" s="21" t="s">
        <v>1496</v>
      </c>
    </row>
    <row r="158" spans="1:1" x14ac:dyDescent="0.2">
      <c r="A158" s="21" t="s">
        <v>1495</v>
      </c>
    </row>
    <row r="159" spans="1:1" x14ac:dyDescent="0.2">
      <c r="A159" s="21" t="s">
        <v>1494</v>
      </c>
    </row>
    <row r="160" spans="1:1" x14ac:dyDescent="0.2">
      <c r="A160" s="21" t="s">
        <v>1493</v>
      </c>
    </row>
    <row r="161" spans="1:1" x14ac:dyDescent="0.2">
      <c r="A161" s="21" t="s">
        <v>1492</v>
      </c>
    </row>
    <row r="162" spans="1:1" x14ac:dyDescent="0.2">
      <c r="A162" s="21" t="s">
        <v>1491</v>
      </c>
    </row>
    <row r="163" spans="1:1" x14ac:dyDescent="0.2">
      <c r="A163" s="21" t="s">
        <v>1490</v>
      </c>
    </row>
    <row r="164" spans="1:1" x14ac:dyDescent="0.2">
      <c r="A164" s="21" t="s">
        <v>1489</v>
      </c>
    </row>
    <row r="165" spans="1:1" x14ac:dyDescent="0.2">
      <c r="A165" s="21" t="s">
        <v>1488</v>
      </c>
    </row>
    <row r="166" spans="1:1" x14ac:dyDescent="0.2">
      <c r="A166" s="20" t="s">
        <v>1631</v>
      </c>
    </row>
    <row r="167" spans="1:1" x14ac:dyDescent="0.2">
      <c r="A167" s="21" t="s">
        <v>1487</v>
      </c>
    </row>
    <row r="168" spans="1:1" x14ac:dyDescent="0.2">
      <c r="A168" s="21" t="s">
        <v>1484</v>
      </c>
    </row>
    <row r="169" spans="1:1" x14ac:dyDescent="0.2">
      <c r="A169" s="21" t="s">
        <v>1486</v>
      </c>
    </row>
    <row r="170" spans="1:1" x14ac:dyDescent="0.2">
      <c r="A170" s="21" t="s">
        <v>1485</v>
      </c>
    </row>
    <row r="171" spans="1:1" x14ac:dyDescent="0.2">
      <c r="A171" s="22" t="s">
        <v>1483</v>
      </c>
    </row>
    <row r="172" spans="1:1" x14ac:dyDescent="0.2">
      <c r="A172" s="22" t="s">
        <v>1482</v>
      </c>
    </row>
    <row r="173" spans="1:1" x14ac:dyDescent="0.2">
      <c r="A173" s="21" t="s">
        <v>1481</v>
      </c>
    </row>
    <row r="174" spans="1:1" x14ac:dyDescent="0.2">
      <c r="A174" s="20" t="s">
        <v>1637</v>
      </c>
    </row>
    <row r="175" spans="1:1" x14ac:dyDescent="0.2">
      <c r="A175" s="20" t="s">
        <v>1480</v>
      </c>
    </row>
    <row r="176" spans="1:1" x14ac:dyDescent="0.2">
      <c r="A176" s="21" t="s">
        <v>1479</v>
      </c>
    </row>
    <row r="177" spans="1:1" x14ac:dyDescent="0.2">
      <c r="A177" s="21" t="s">
        <v>1478</v>
      </c>
    </row>
    <row r="178" spans="1:1" x14ac:dyDescent="0.2">
      <c r="A178" s="21" t="s">
        <v>1477</v>
      </c>
    </row>
    <row r="179" spans="1:1" x14ac:dyDescent="0.2">
      <c r="A179" s="21" t="s">
        <v>1476</v>
      </c>
    </row>
    <row r="180" spans="1:1" x14ac:dyDescent="0.2">
      <c r="A180" s="21" t="s">
        <v>1475</v>
      </c>
    </row>
    <row r="181" spans="1:1" x14ac:dyDescent="0.2">
      <c r="A181" s="21" t="s">
        <v>1474</v>
      </c>
    </row>
    <row r="182" spans="1:1" x14ac:dyDescent="0.2">
      <c r="A182" s="20" t="s">
        <v>1634</v>
      </c>
    </row>
    <row r="183" spans="1:1" x14ac:dyDescent="0.2">
      <c r="A183" s="21" t="s">
        <v>1473</v>
      </c>
    </row>
    <row r="184" spans="1:1" x14ac:dyDescent="0.2">
      <c r="A184" s="21" t="s">
        <v>1472</v>
      </c>
    </row>
    <row r="185" spans="1:1" x14ac:dyDescent="0.2">
      <c r="A185" s="21" t="s">
        <v>1471</v>
      </c>
    </row>
    <row r="186" spans="1:1" x14ac:dyDescent="0.2">
      <c r="A186" s="21" t="s">
        <v>1470</v>
      </c>
    </row>
    <row r="187" spans="1:1" x14ac:dyDescent="0.2">
      <c r="A187" s="21" t="s">
        <v>1469</v>
      </c>
    </row>
    <row r="188" spans="1:1" x14ac:dyDescent="0.2">
      <c r="A188" s="21" t="s">
        <v>1468</v>
      </c>
    </row>
    <row r="189" spans="1:1" x14ac:dyDescent="0.2">
      <c r="A189" s="21" t="s">
        <v>1467</v>
      </c>
    </row>
    <row r="190" spans="1:1" x14ac:dyDescent="0.2">
      <c r="A190" s="21" t="s">
        <v>1466</v>
      </c>
    </row>
    <row r="191" spans="1:1" x14ac:dyDescent="0.2">
      <c r="A191" s="20" t="s">
        <v>1465</v>
      </c>
    </row>
    <row r="192" spans="1:1" x14ac:dyDescent="0.2">
      <c r="A192" s="20"/>
    </row>
    <row r="193" spans="1:1" ht="15" x14ac:dyDescent="0.25">
      <c r="A193" s="31"/>
    </row>
    <row r="194" spans="1:1" ht="15" x14ac:dyDescent="0.25">
      <c r="A194" s="31"/>
    </row>
    <row r="195" spans="1:1" ht="15" x14ac:dyDescent="0.25">
      <c r="A195" s="31"/>
    </row>
    <row r="196" spans="1:1" ht="15" x14ac:dyDescent="0.25">
      <c r="A196" s="31"/>
    </row>
    <row r="197" spans="1:1" ht="15" x14ac:dyDescent="0.25">
      <c r="A197" s="31"/>
    </row>
    <row r="198" spans="1:1" ht="15" x14ac:dyDescent="0.25">
      <c r="A198" s="31"/>
    </row>
    <row r="199" spans="1:1" ht="15" x14ac:dyDescent="0.25">
      <c r="A199" s="31"/>
    </row>
    <row r="200" spans="1:1" ht="15" x14ac:dyDescent="0.25">
      <c r="A200" s="31"/>
    </row>
    <row r="201" spans="1:1" ht="15" x14ac:dyDescent="0.25">
      <c r="A201" s="31"/>
    </row>
    <row r="202" spans="1:1" ht="15" x14ac:dyDescent="0.25">
      <c r="A202" s="31"/>
    </row>
    <row r="203" spans="1:1" ht="15" x14ac:dyDescent="0.25">
      <c r="A203" s="31"/>
    </row>
    <row r="204" spans="1:1" ht="15" x14ac:dyDescent="0.25">
      <c r="A204" s="31"/>
    </row>
    <row r="205" spans="1:1" ht="15" x14ac:dyDescent="0.25">
      <c r="A205" s="31"/>
    </row>
    <row r="206" spans="1:1" ht="15" x14ac:dyDescent="0.25">
      <c r="A206" s="31"/>
    </row>
    <row r="207" spans="1:1" ht="15" x14ac:dyDescent="0.25">
      <c r="A207" s="31"/>
    </row>
    <row r="208" spans="1:1" ht="15" x14ac:dyDescent="0.25">
      <c r="A208" s="31"/>
    </row>
    <row r="209" spans="1:1" ht="15" x14ac:dyDescent="0.25">
      <c r="A209" s="31"/>
    </row>
    <row r="210" spans="1:1" ht="15" x14ac:dyDescent="0.25">
      <c r="A210" s="31"/>
    </row>
    <row r="211" spans="1:1" ht="15" x14ac:dyDescent="0.25">
      <c r="A211" s="31"/>
    </row>
    <row r="212" spans="1:1" ht="15" x14ac:dyDescent="0.25">
      <c r="A212" s="31"/>
    </row>
    <row r="213" spans="1:1" ht="15" x14ac:dyDescent="0.25">
      <c r="A213" s="31"/>
    </row>
    <row r="214" spans="1:1" ht="15" x14ac:dyDescent="0.25">
      <c r="A214" s="31"/>
    </row>
    <row r="215" spans="1:1" ht="15" x14ac:dyDescent="0.25">
      <c r="A215" s="31"/>
    </row>
    <row r="216" spans="1:1" ht="15" x14ac:dyDescent="0.25">
      <c r="A216" s="31"/>
    </row>
    <row r="217" spans="1:1" ht="15" x14ac:dyDescent="0.25">
      <c r="A217" s="31"/>
    </row>
    <row r="218" spans="1:1" ht="15" x14ac:dyDescent="0.25">
      <c r="A218" s="31"/>
    </row>
    <row r="219" spans="1:1" ht="15" x14ac:dyDescent="0.25">
      <c r="A219" s="31"/>
    </row>
    <row r="220" spans="1:1" ht="15" x14ac:dyDescent="0.25">
      <c r="A220" s="31"/>
    </row>
    <row r="221" spans="1:1" ht="15" x14ac:dyDescent="0.25">
      <c r="A221" s="31"/>
    </row>
    <row r="222" spans="1:1" ht="15" x14ac:dyDescent="0.25">
      <c r="A222" s="31"/>
    </row>
    <row r="223" spans="1:1" ht="15" x14ac:dyDescent="0.25">
      <c r="A223" s="31"/>
    </row>
    <row r="224" spans="1:1" ht="15" x14ac:dyDescent="0.25">
      <c r="A224" s="31"/>
    </row>
    <row r="225" spans="1:1" ht="15" x14ac:dyDescent="0.25">
      <c r="A225" s="31"/>
    </row>
    <row r="226" spans="1:1" ht="15" x14ac:dyDescent="0.25">
      <c r="A226" s="31"/>
    </row>
    <row r="227" spans="1:1" ht="15" x14ac:dyDescent="0.25">
      <c r="A227" s="31"/>
    </row>
    <row r="228" spans="1:1" ht="15" x14ac:dyDescent="0.25">
      <c r="A228" s="31"/>
    </row>
    <row r="229" spans="1:1" ht="15" x14ac:dyDescent="0.25">
      <c r="A229" s="31"/>
    </row>
    <row r="230" spans="1:1" ht="15" x14ac:dyDescent="0.25">
      <c r="A230" s="31"/>
    </row>
    <row r="231" spans="1:1" ht="15" x14ac:dyDescent="0.25">
      <c r="A231" s="31"/>
    </row>
    <row r="232" spans="1:1" ht="15" x14ac:dyDescent="0.25">
      <c r="A232" s="31"/>
    </row>
    <row r="233" spans="1:1" ht="15" x14ac:dyDescent="0.25">
      <c r="A233" s="31"/>
    </row>
    <row r="234" spans="1:1" ht="15" x14ac:dyDescent="0.25">
      <c r="A234" s="31"/>
    </row>
    <row r="235" spans="1:1" ht="15" x14ac:dyDescent="0.25">
      <c r="A235" s="31"/>
    </row>
    <row r="236" spans="1:1" ht="15" x14ac:dyDescent="0.25">
      <c r="A236" s="31"/>
    </row>
    <row r="237" spans="1:1" ht="15" x14ac:dyDescent="0.25">
      <c r="A237" s="31"/>
    </row>
    <row r="238" spans="1:1" ht="15" x14ac:dyDescent="0.25">
      <c r="A238" s="31"/>
    </row>
    <row r="239" spans="1:1" ht="15" x14ac:dyDescent="0.25">
      <c r="A239" s="31"/>
    </row>
    <row r="240" spans="1:1" ht="15" x14ac:dyDescent="0.25">
      <c r="A240" s="31"/>
    </row>
    <row r="241" spans="1:1" ht="15" x14ac:dyDescent="0.25">
      <c r="A241" s="31"/>
    </row>
    <row r="242" spans="1:1" ht="15" x14ac:dyDescent="0.25">
      <c r="A242" s="31"/>
    </row>
    <row r="243" spans="1:1" ht="15" x14ac:dyDescent="0.25">
      <c r="A243" s="31"/>
    </row>
    <row r="244" spans="1:1" ht="15" x14ac:dyDescent="0.25">
      <c r="A244" s="31"/>
    </row>
    <row r="245" spans="1:1" ht="15" x14ac:dyDescent="0.25">
      <c r="A245" s="31"/>
    </row>
    <row r="246" spans="1:1" ht="15" x14ac:dyDescent="0.25">
      <c r="A246" s="31"/>
    </row>
    <row r="247" spans="1:1" ht="15" x14ac:dyDescent="0.25">
      <c r="A247" s="31"/>
    </row>
    <row r="248" spans="1:1" ht="15" x14ac:dyDescent="0.25">
      <c r="A248" s="31"/>
    </row>
    <row r="249" spans="1:1" ht="15" x14ac:dyDescent="0.25">
      <c r="A249" s="31"/>
    </row>
    <row r="250" spans="1:1" ht="15" x14ac:dyDescent="0.25">
      <c r="A250" s="31"/>
    </row>
    <row r="251" spans="1:1" ht="15" x14ac:dyDescent="0.25">
      <c r="A251" s="31"/>
    </row>
    <row r="252" spans="1:1" ht="15" x14ac:dyDescent="0.25">
      <c r="A252" s="31"/>
    </row>
    <row r="253" spans="1:1" ht="15" x14ac:dyDescent="0.25">
      <c r="A253" s="31"/>
    </row>
    <row r="254" spans="1:1" ht="15" x14ac:dyDescent="0.25">
      <c r="A254" s="31"/>
    </row>
    <row r="255" spans="1:1" ht="15" x14ac:dyDescent="0.25">
      <c r="A255" s="31"/>
    </row>
    <row r="256" spans="1:1" ht="15" x14ac:dyDescent="0.25">
      <c r="A256" s="31"/>
    </row>
    <row r="257" spans="1:1" ht="15" x14ac:dyDescent="0.25">
      <c r="A257" s="31"/>
    </row>
    <row r="258" spans="1:1" ht="15" x14ac:dyDescent="0.25">
      <c r="A258" s="31"/>
    </row>
    <row r="259" spans="1:1" ht="15" x14ac:dyDescent="0.25">
      <c r="A259" s="31"/>
    </row>
    <row r="260" spans="1:1" ht="15" x14ac:dyDescent="0.25">
      <c r="A260" s="31"/>
    </row>
    <row r="261" spans="1:1" ht="15" x14ac:dyDescent="0.25">
      <c r="A261" s="31"/>
    </row>
    <row r="262" spans="1:1" ht="15" x14ac:dyDescent="0.25">
      <c r="A262" s="31"/>
    </row>
    <row r="263" spans="1:1" ht="15" x14ac:dyDescent="0.25">
      <c r="A263" s="31"/>
    </row>
    <row r="264" spans="1:1" ht="15" x14ac:dyDescent="0.25">
      <c r="A264" s="31"/>
    </row>
    <row r="265" spans="1:1" ht="15" x14ac:dyDescent="0.25">
      <c r="A265" s="31"/>
    </row>
    <row r="266" spans="1:1" ht="15" x14ac:dyDescent="0.25">
      <c r="A266" s="31"/>
    </row>
    <row r="267" spans="1:1" ht="15" x14ac:dyDescent="0.25">
      <c r="A267" s="31"/>
    </row>
    <row r="268" spans="1:1" ht="15" x14ac:dyDescent="0.25">
      <c r="A268" s="31"/>
    </row>
    <row r="269" spans="1:1" ht="15" x14ac:dyDescent="0.25">
      <c r="A269" s="31"/>
    </row>
    <row r="270" spans="1:1" ht="15" x14ac:dyDescent="0.25">
      <c r="A270" s="31"/>
    </row>
    <row r="271" spans="1:1" ht="15" x14ac:dyDescent="0.25">
      <c r="A271" s="31"/>
    </row>
    <row r="272" spans="1:1" ht="15" x14ac:dyDescent="0.25">
      <c r="A272" s="31"/>
    </row>
    <row r="273" spans="1:1" ht="15" x14ac:dyDescent="0.25">
      <c r="A273" s="31"/>
    </row>
    <row r="274" spans="1:1" ht="15" x14ac:dyDescent="0.25">
      <c r="A274" s="31"/>
    </row>
    <row r="275" spans="1:1" ht="15" x14ac:dyDescent="0.25">
      <c r="A275" s="31"/>
    </row>
    <row r="276" spans="1:1" ht="15" x14ac:dyDescent="0.25">
      <c r="A276" s="31"/>
    </row>
    <row r="277" spans="1:1" ht="15" x14ac:dyDescent="0.25">
      <c r="A277" s="31"/>
    </row>
    <row r="278" spans="1:1" ht="15" x14ac:dyDescent="0.25">
      <c r="A278" s="31"/>
    </row>
    <row r="279" spans="1:1" ht="15" x14ac:dyDescent="0.25">
      <c r="A279" s="31"/>
    </row>
    <row r="280" spans="1:1" ht="15" x14ac:dyDescent="0.25">
      <c r="A280" s="31"/>
    </row>
    <row r="281" spans="1:1" ht="15" x14ac:dyDescent="0.25">
      <c r="A281" s="31"/>
    </row>
    <row r="282" spans="1:1" ht="15" x14ac:dyDescent="0.25">
      <c r="A282" s="31"/>
    </row>
    <row r="283" spans="1:1" ht="15" x14ac:dyDescent="0.25">
      <c r="A283" s="31"/>
    </row>
    <row r="284" spans="1:1" ht="15" x14ac:dyDescent="0.25">
      <c r="A284" s="31"/>
    </row>
    <row r="285" spans="1:1" ht="15" x14ac:dyDescent="0.25">
      <c r="A285" s="31"/>
    </row>
    <row r="286" spans="1:1" ht="15" x14ac:dyDescent="0.25">
      <c r="A286" s="31"/>
    </row>
    <row r="287" spans="1:1" ht="15" x14ac:dyDescent="0.25">
      <c r="A287" s="31"/>
    </row>
    <row r="288" spans="1:1" ht="15" x14ac:dyDescent="0.25">
      <c r="A288" s="31"/>
    </row>
    <row r="289" spans="1:1" ht="15" x14ac:dyDescent="0.25">
      <c r="A289" s="31"/>
    </row>
    <row r="290" spans="1:1" ht="15" x14ac:dyDescent="0.25">
      <c r="A290" s="31"/>
    </row>
    <row r="291" spans="1:1" ht="15" x14ac:dyDescent="0.25">
      <c r="A291" s="31"/>
    </row>
    <row r="292" spans="1:1" ht="15" x14ac:dyDescent="0.25">
      <c r="A292" s="31"/>
    </row>
    <row r="293" spans="1:1" ht="15" x14ac:dyDescent="0.25">
      <c r="A293" s="31"/>
    </row>
    <row r="294" spans="1:1" ht="15" x14ac:dyDescent="0.25">
      <c r="A294" s="31"/>
    </row>
    <row r="295" spans="1:1" ht="15" x14ac:dyDescent="0.25">
      <c r="A295" s="31"/>
    </row>
    <row r="296" spans="1:1" ht="15" x14ac:dyDescent="0.25">
      <c r="A296" s="31"/>
    </row>
    <row r="297" spans="1:1" ht="15" x14ac:dyDescent="0.25">
      <c r="A297" s="31"/>
    </row>
    <row r="298" spans="1:1" ht="15" x14ac:dyDescent="0.25">
      <c r="A298" s="31"/>
    </row>
    <row r="299" spans="1:1" ht="15" x14ac:dyDescent="0.25">
      <c r="A299" s="31"/>
    </row>
    <row r="300" spans="1:1" ht="15" x14ac:dyDescent="0.25">
      <c r="A300" s="31"/>
    </row>
    <row r="301" spans="1:1" ht="15" x14ac:dyDescent="0.25">
      <c r="A301" s="31"/>
    </row>
    <row r="302" spans="1:1" ht="15" x14ac:dyDescent="0.25">
      <c r="A302" s="31"/>
    </row>
    <row r="303" spans="1:1" ht="15" x14ac:dyDescent="0.25">
      <c r="A303" s="31"/>
    </row>
    <row r="304" spans="1:1" ht="15" x14ac:dyDescent="0.25">
      <c r="A304" s="31"/>
    </row>
    <row r="305" spans="1:1" ht="15" x14ac:dyDescent="0.25">
      <c r="A305" s="31"/>
    </row>
    <row r="306" spans="1:1" ht="15" x14ac:dyDescent="0.25">
      <c r="A306" s="31"/>
    </row>
    <row r="307" spans="1:1" ht="15" x14ac:dyDescent="0.25">
      <c r="A307" s="31"/>
    </row>
    <row r="308" spans="1:1" ht="15" x14ac:dyDescent="0.25">
      <c r="A308" s="31"/>
    </row>
    <row r="309" spans="1:1" ht="15" x14ac:dyDescent="0.25">
      <c r="A309" s="31"/>
    </row>
    <row r="310" spans="1:1" ht="15" x14ac:dyDescent="0.25">
      <c r="A310" s="31"/>
    </row>
    <row r="311" spans="1:1" ht="15" x14ac:dyDescent="0.25">
      <c r="A311" s="31"/>
    </row>
    <row r="312" spans="1:1" ht="15" x14ac:dyDescent="0.25">
      <c r="A312" s="31"/>
    </row>
    <row r="313" spans="1:1" ht="15" x14ac:dyDescent="0.25">
      <c r="A313" s="31"/>
    </row>
    <row r="314" spans="1:1" ht="15" x14ac:dyDescent="0.25">
      <c r="A314" s="31"/>
    </row>
    <row r="315" spans="1:1" ht="15" x14ac:dyDescent="0.25">
      <c r="A315" s="31"/>
    </row>
    <row r="316" spans="1:1" ht="15" x14ac:dyDescent="0.25">
      <c r="A316" s="31"/>
    </row>
    <row r="317" spans="1:1" ht="15" x14ac:dyDescent="0.25">
      <c r="A317" s="31"/>
    </row>
    <row r="318" spans="1:1" ht="15" x14ac:dyDescent="0.25">
      <c r="A318" s="31"/>
    </row>
    <row r="319" spans="1:1" ht="15" x14ac:dyDescent="0.25">
      <c r="A319" s="31"/>
    </row>
    <row r="320" spans="1:1" ht="15" x14ac:dyDescent="0.25">
      <c r="A320" s="31"/>
    </row>
    <row r="321" spans="1:1" ht="15" x14ac:dyDescent="0.25">
      <c r="A321" s="31"/>
    </row>
    <row r="322" spans="1:1" ht="15" x14ac:dyDescent="0.25">
      <c r="A322" s="31"/>
    </row>
    <row r="323" spans="1:1" ht="15" x14ac:dyDescent="0.25">
      <c r="A323" s="31"/>
    </row>
    <row r="324" spans="1:1" ht="15" x14ac:dyDescent="0.25">
      <c r="A324" s="31"/>
    </row>
    <row r="325" spans="1:1" ht="15" x14ac:dyDescent="0.25">
      <c r="A325" s="31"/>
    </row>
    <row r="326" spans="1:1" ht="15" x14ac:dyDescent="0.25">
      <c r="A326" s="31"/>
    </row>
    <row r="327" spans="1:1" ht="15" x14ac:dyDescent="0.25">
      <c r="A327" s="31"/>
    </row>
    <row r="328" spans="1:1" ht="15" x14ac:dyDescent="0.25">
      <c r="A328" s="31"/>
    </row>
    <row r="329" spans="1:1" ht="15" x14ac:dyDescent="0.25">
      <c r="A329" s="31"/>
    </row>
    <row r="330" spans="1:1" ht="15" x14ac:dyDescent="0.25">
      <c r="A330" s="31"/>
    </row>
    <row r="331" spans="1:1" ht="15" x14ac:dyDescent="0.25">
      <c r="A331" s="31"/>
    </row>
    <row r="332" spans="1:1" ht="15" x14ac:dyDescent="0.25">
      <c r="A332" s="31"/>
    </row>
    <row r="333" spans="1:1" ht="15" x14ac:dyDescent="0.25">
      <c r="A333" s="31"/>
    </row>
    <row r="334" spans="1:1" ht="15" x14ac:dyDescent="0.25">
      <c r="A334" s="31"/>
    </row>
    <row r="335" spans="1:1" ht="15" x14ac:dyDescent="0.25">
      <c r="A335" s="31"/>
    </row>
    <row r="336" spans="1:1" ht="15" x14ac:dyDescent="0.25">
      <c r="A336" s="31"/>
    </row>
    <row r="337" spans="1:1" ht="15" x14ac:dyDescent="0.25">
      <c r="A337" s="31"/>
    </row>
    <row r="338" spans="1:1" ht="15" x14ac:dyDescent="0.25">
      <c r="A338" s="31"/>
    </row>
    <row r="339" spans="1:1" ht="15" x14ac:dyDescent="0.25">
      <c r="A339" s="31"/>
    </row>
    <row r="340" spans="1:1" ht="15" x14ac:dyDescent="0.25">
      <c r="A340" s="31"/>
    </row>
    <row r="341" spans="1:1" ht="15" x14ac:dyDescent="0.25">
      <c r="A341" s="31"/>
    </row>
    <row r="342" spans="1:1" ht="15" x14ac:dyDescent="0.25">
      <c r="A342" s="31"/>
    </row>
    <row r="343" spans="1:1" ht="15" x14ac:dyDescent="0.25">
      <c r="A343" s="31"/>
    </row>
    <row r="344" spans="1:1" ht="15" x14ac:dyDescent="0.25">
      <c r="A344" s="31"/>
    </row>
    <row r="345" spans="1:1" ht="15" x14ac:dyDescent="0.25">
      <c r="A345" s="31"/>
    </row>
    <row r="346" spans="1:1" ht="15" x14ac:dyDescent="0.25">
      <c r="A346" s="31"/>
    </row>
    <row r="347" spans="1:1" ht="15" x14ac:dyDescent="0.25">
      <c r="A347" s="31"/>
    </row>
    <row r="348" spans="1:1" ht="15" x14ac:dyDescent="0.25">
      <c r="A348" s="31"/>
    </row>
    <row r="349" spans="1:1" ht="15" x14ac:dyDescent="0.25">
      <c r="A349" s="31"/>
    </row>
    <row r="350" spans="1:1" ht="15" x14ac:dyDescent="0.25">
      <c r="A350" s="31"/>
    </row>
    <row r="351" spans="1:1" ht="15" x14ac:dyDescent="0.25">
      <c r="A351" s="31"/>
    </row>
    <row r="352" spans="1:1" ht="15" x14ac:dyDescent="0.25">
      <c r="A352" s="31"/>
    </row>
    <row r="353" spans="1:1" ht="15" x14ac:dyDescent="0.25">
      <c r="A353" s="31"/>
    </row>
    <row r="354" spans="1:1" ht="15" x14ac:dyDescent="0.25">
      <c r="A354" s="31"/>
    </row>
    <row r="355" spans="1:1" ht="15" x14ac:dyDescent="0.25">
      <c r="A355" s="31"/>
    </row>
    <row r="356" spans="1:1" ht="15" x14ac:dyDescent="0.25">
      <c r="A356" s="31"/>
    </row>
    <row r="357" spans="1:1" ht="15" x14ac:dyDescent="0.25">
      <c r="A357" s="31"/>
    </row>
    <row r="358" spans="1:1" ht="15" x14ac:dyDescent="0.25">
      <c r="A358" s="31"/>
    </row>
    <row r="359" spans="1:1" ht="15" x14ac:dyDescent="0.25">
      <c r="A359" s="31"/>
    </row>
    <row r="360" spans="1:1" ht="15" x14ac:dyDescent="0.25">
      <c r="A360" s="31"/>
    </row>
    <row r="361" spans="1:1" ht="15" x14ac:dyDescent="0.25">
      <c r="A361" s="31"/>
    </row>
    <row r="362" spans="1:1" ht="15" x14ac:dyDescent="0.25">
      <c r="A362" s="31"/>
    </row>
    <row r="363" spans="1:1" ht="15" x14ac:dyDescent="0.25">
      <c r="A363" s="31"/>
    </row>
    <row r="364" spans="1:1" ht="15" x14ac:dyDescent="0.25">
      <c r="A364" s="31"/>
    </row>
    <row r="365" spans="1:1" ht="15" x14ac:dyDescent="0.25">
      <c r="A365" s="31"/>
    </row>
    <row r="366" spans="1:1" ht="15" x14ac:dyDescent="0.25">
      <c r="A366" s="31"/>
    </row>
    <row r="367" spans="1:1" ht="15" x14ac:dyDescent="0.25">
      <c r="A367" s="31"/>
    </row>
    <row r="368" spans="1:1" ht="15" x14ac:dyDescent="0.25">
      <c r="A368" s="31"/>
    </row>
    <row r="369" spans="1:1" ht="15" x14ac:dyDescent="0.25">
      <c r="A369" s="31"/>
    </row>
    <row r="370" spans="1:1" ht="15" x14ac:dyDescent="0.25">
      <c r="A370" s="31"/>
    </row>
    <row r="371" spans="1:1" ht="15" x14ac:dyDescent="0.25">
      <c r="A371" s="31"/>
    </row>
    <row r="372" spans="1:1" ht="15" x14ac:dyDescent="0.25">
      <c r="A372" s="31"/>
    </row>
    <row r="373" spans="1:1" ht="15" x14ac:dyDescent="0.25">
      <c r="A373" s="31"/>
    </row>
    <row r="374" spans="1:1" ht="15" x14ac:dyDescent="0.25">
      <c r="A374" s="31"/>
    </row>
    <row r="375" spans="1:1" ht="15" x14ac:dyDescent="0.25">
      <c r="A375" s="31"/>
    </row>
    <row r="376" spans="1:1" ht="15" x14ac:dyDescent="0.25">
      <c r="A376" s="31"/>
    </row>
    <row r="377" spans="1:1" ht="15" x14ac:dyDescent="0.25">
      <c r="A377" s="31"/>
    </row>
    <row r="378" spans="1:1" ht="15" x14ac:dyDescent="0.25">
      <c r="A378" s="31"/>
    </row>
    <row r="379" spans="1:1" ht="15" x14ac:dyDescent="0.25">
      <c r="A379" s="31"/>
    </row>
    <row r="380" spans="1:1" ht="15" x14ac:dyDescent="0.25">
      <c r="A380" s="31"/>
    </row>
    <row r="381" spans="1:1" ht="15" x14ac:dyDescent="0.25">
      <c r="A381" s="31"/>
    </row>
    <row r="382" spans="1:1" ht="15" x14ac:dyDescent="0.25">
      <c r="A382" s="31"/>
    </row>
    <row r="383" spans="1:1" ht="15" x14ac:dyDescent="0.25">
      <c r="A383" s="31"/>
    </row>
    <row r="384" spans="1:1" ht="15" x14ac:dyDescent="0.25">
      <c r="A384" s="31"/>
    </row>
    <row r="385" spans="1:1" ht="15" x14ac:dyDescent="0.25">
      <c r="A385" s="31"/>
    </row>
    <row r="386" spans="1:1" ht="15" x14ac:dyDescent="0.25">
      <c r="A386" s="31"/>
    </row>
    <row r="387" spans="1:1" ht="15" x14ac:dyDescent="0.25">
      <c r="A387" s="31"/>
    </row>
    <row r="388" spans="1:1" ht="15" x14ac:dyDescent="0.25">
      <c r="A388" s="31"/>
    </row>
    <row r="389" spans="1:1" ht="15" x14ac:dyDescent="0.25">
      <c r="A389" s="31"/>
    </row>
    <row r="390" spans="1:1" ht="15" x14ac:dyDescent="0.25">
      <c r="A390" s="31"/>
    </row>
    <row r="391" spans="1:1" ht="15" x14ac:dyDescent="0.25">
      <c r="A391" s="31"/>
    </row>
    <row r="392" spans="1:1" ht="15" x14ac:dyDescent="0.25">
      <c r="A392" s="31"/>
    </row>
    <row r="393" spans="1:1" ht="15" x14ac:dyDescent="0.25">
      <c r="A393" s="31"/>
    </row>
    <row r="394" spans="1:1" ht="15" x14ac:dyDescent="0.25">
      <c r="A394" s="31"/>
    </row>
    <row r="395" spans="1:1" ht="15" x14ac:dyDescent="0.25">
      <c r="A395" s="31"/>
    </row>
    <row r="396" spans="1:1" ht="15" x14ac:dyDescent="0.25">
      <c r="A396" s="31"/>
    </row>
    <row r="397" spans="1:1" ht="15" x14ac:dyDescent="0.25">
      <c r="A397" s="31"/>
    </row>
    <row r="398" spans="1:1" ht="15" x14ac:dyDescent="0.25">
      <c r="A398" s="31"/>
    </row>
    <row r="399" spans="1:1" ht="15" x14ac:dyDescent="0.25">
      <c r="A399" s="31"/>
    </row>
    <row r="400" spans="1:1" ht="15" x14ac:dyDescent="0.25">
      <c r="A400" s="31"/>
    </row>
    <row r="401" spans="1:1" ht="15" x14ac:dyDescent="0.25">
      <c r="A401" s="31"/>
    </row>
    <row r="402" spans="1:1" ht="15" x14ac:dyDescent="0.25">
      <c r="A402" s="31"/>
    </row>
    <row r="403" spans="1:1" ht="15" x14ac:dyDescent="0.25">
      <c r="A403" s="31"/>
    </row>
    <row r="404" spans="1:1" ht="15" x14ac:dyDescent="0.25">
      <c r="A404" s="31"/>
    </row>
    <row r="405" spans="1:1" ht="15" x14ac:dyDescent="0.25">
      <c r="A405" s="31"/>
    </row>
    <row r="406" spans="1:1" ht="15" x14ac:dyDescent="0.25">
      <c r="A406" s="31"/>
    </row>
    <row r="407" spans="1:1" ht="15" x14ac:dyDescent="0.25">
      <c r="A407" s="31"/>
    </row>
    <row r="408" spans="1:1" ht="15" x14ac:dyDescent="0.25">
      <c r="A408" s="31"/>
    </row>
    <row r="409" spans="1:1" ht="15" x14ac:dyDescent="0.25">
      <c r="A409" s="31"/>
    </row>
    <row r="410" spans="1:1" ht="15" x14ac:dyDescent="0.25">
      <c r="A410" s="31"/>
    </row>
    <row r="411" spans="1:1" ht="15" x14ac:dyDescent="0.25">
      <c r="A411" s="31"/>
    </row>
    <row r="412" spans="1:1" ht="15" x14ac:dyDescent="0.25">
      <c r="A412" s="31"/>
    </row>
    <row r="413" spans="1:1" ht="15" x14ac:dyDescent="0.25">
      <c r="A413" s="31"/>
    </row>
    <row r="414" spans="1:1" ht="15" x14ac:dyDescent="0.25">
      <c r="A414" s="31"/>
    </row>
    <row r="415" spans="1:1" ht="15" x14ac:dyDescent="0.25">
      <c r="A415" s="31"/>
    </row>
    <row r="416" spans="1:1" ht="15" x14ac:dyDescent="0.25">
      <c r="A416" s="31"/>
    </row>
    <row r="417" spans="1:1" ht="15" x14ac:dyDescent="0.25">
      <c r="A417" s="31"/>
    </row>
    <row r="418" spans="1:1" ht="15" x14ac:dyDescent="0.25">
      <c r="A418" s="31"/>
    </row>
    <row r="419" spans="1:1" ht="15" x14ac:dyDescent="0.25">
      <c r="A419" s="31"/>
    </row>
    <row r="420" spans="1:1" ht="15" x14ac:dyDescent="0.25">
      <c r="A420" s="31"/>
    </row>
    <row r="421" spans="1:1" ht="15" x14ac:dyDescent="0.25">
      <c r="A421" s="31"/>
    </row>
    <row r="422" spans="1:1" ht="15" x14ac:dyDescent="0.25">
      <c r="A422" s="31"/>
    </row>
    <row r="423" spans="1:1" ht="15" x14ac:dyDescent="0.25">
      <c r="A423" s="31"/>
    </row>
    <row r="424" spans="1:1" ht="15" x14ac:dyDescent="0.25">
      <c r="A424" s="31"/>
    </row>
    <row r="425" spans="1:1" ht="15" x14ac:dyDescent="0.25">
      <c r="A425" s="31"/>
    </row>
    <row r="426" spans="1:1" ht="15" x14ac:dyDescent="0.25">
      <c r="A426" s="31"/>
    </row>
    <row r="427" spans="1:1" ht="15" x14ac:dyDescent="0.25">
      <c r="A427" s="31"/>
    </row>
    <row r="428" spans="1:1" ht="15" x14ac:dyDescent="0.25">
      <c r="A428" s="31"/>
    </row>
    <row r="429" spans="1:1" ht="15" x14ac:dyDescent="0.25">
      <c r="A429" s="31"/>
    </row>
    <row r="430" spans="1:1" ht="15" x14ac:dyDescent="0.25">
      <c r="A430" s="31"/>
    </row>
    <row r="431" spans="1:1" ht="15" x14ac:dyDescent="0.25">
      <c r="A431" s="31"/>
    </row>
    <row r="432" spans="1:1" ht="15" x14ac:dyDescent="0.25">
      <c r="A432" s="31"/>
    </row>
    <row r="433" spans="1:1" ht="15" x14ac:dyDescent="0.25">
      <c r="A433" s="31"/>
    </row>
    <row r="434" spans="1:1" ht="15" x14ac:dyDescent="0.25">
      <c r="A434" s="31"/>
    </row>
    <row r="435" spans="1:1" ht="15" x14ac:dyDescent="0.25">
      <c r="A435" s="31"/>
    </row>
    <row r="436" spans="1:1" ht="15" x14ac:dyDescent="0.25">
      <c r="A436" s="31"/>
    </row>
    <row r="437" spans="1:1" ht="15" x14ac:dyDescent="0.25">
      <c r="A437" s="31"/>
    </row>
    <row r="438" spans="1:1" ht="15" x14ac:dyDescent="0.25">
      <c r="A438" s="31"/>
    </row>
    <row r="439" spans="1:1" ht="15" x14ac:dyDescent="0.25">
      <c r="A439" s="31"/>
    </row>
    <row r="440" spans="1:1" ht="15" x14ac:dyDescent="0.25">
      <c r="A440" s="31"/>
    </row>
    <row r="441" spans="1:1" ht="15" x14ac:dyDescent="0.25">
      <c r="A441" s="31"/>
    </row>
    <row r="442" spans="1:1" ht="15" x14ac:dyDescent="0.25">
      <c r="A442" s="31"/>
    </row>
    <row r="443" spans="1:1" ht="15" x14ac:dyDescent="0.25">
      <c r="A443" s="31"/>
    </row>
    <row r="444" spans="1:1" ht="15" x14ac:dyDescent="0.25">
      <c r="A444" s="31"/>
    </row>
    <row r="445" spans="1:1" ht="15" x14ac:dyDescent="0.25">
      <c r="A445" s="31"/>
    </row>
    <row r="446" spans="1:1" ht="15" x14ac:dyDescent="0.25">
      <c r="A446" s="31"/>
    </row>
    <row r="447" spans="1:1" ht="15" x14ac:dyDescent="0.25">
      <c r="A447" s="31"/>
    </row>
    <row r="448" spans="1:1" ht="15" x14ac:dyDescent="0.25">
      <c r="A448" s="31"/>
    </row>
    <row r="449" spans="1:1" ht="15" x14ac:dyDescent="0.25">
      <c r="A449" s="31"/>
    </row>
    <row r="450" spans="1:1" ht="15" x14ac:dyDescent="0.25">
      <c r="A450" s="31"/>
    </row>
    <row r="451" spans="1:1" ht="15" x14ac:dyDescent="0.25">
      <c r="A451" s="31"/>
    </row>
    <row r="452" spans="1:1" ht="15" x14ac:dyDescent="0.25">
      <c r="A452" s="31"/>
    </row>
    <row r="453" spans="1:1" ht="15" x14ac:dyDescent="0.25">
      <c r="A453" s="31"/>
    </row>
    <row r="454" spans="1:1" ht="15" x14ac:dyDescent="0.25">
      <c r="A454" s="31"/>
    </row>
    <row r="455" spans="1:1" ht="15" x14ac:dyDescent="0.25">
      <c r="A455" s="31"/>
    </row>
    <row r="456" spans="1:1" ht="15" x14ac:dyDescent="0.25">
      <c r="A456" s="31"/>
    </row>
    <row r="457" spans="1:1" ht="15" x14ac:dyDescent="0.25">
      <c r="A457" s="31"/>
    </row>
    <row r="458" spans="1:1" ht="15" x14ac:dyDescent="0.25">
      <c r="A458" s="31"/>
    </row>
    <row r="459" spans="1:1" ht="15" x14ac:dyDescent="0.25">
      <c r="A459" s="31"/>
    </row>
    <row r="460" spans="1:1" ht="15" x14ac:dyDescent="0.25">
      <c r="A460" s="31"/>
    </row>
    <row r="461" spans="1:1" ht="15" x14ac:dyDescent="0.25">
      <c r="A461" s="31"/>
    </row>
    <row r="462" spans="1:1" ht="15" x14ac:dyDescent="0.25">
      <c r="A462" s="31"/>
    </row>
    <row r="463" spans="1:1" ht="15" x14ac:dyDescent="0.25">
      <c r="A463" s="31"/>
    </row>
    <row r="464" spans="1:1" ht="15" x14ac:dyDescent="0.25">
      <c r="A464" s="31"/>
    </row>
    <row r="465" spans="1:1" ht="15" x14ac:dyDescent="0.25">
      <c r="A465" s="31"/>
    </row>
    <row r="466" spans="1:1" ht="15" x14ac:dyDescent="0.25">
      <c r="A466" s="31"/>
    </row>
    <row r="467" spans="1:1" ht="15" x14ac:dyDescent="0.25">
      <c r="A467" s="31"/>
    </row>
    <row r="468" spans="1:1" ht="15" x14ac:dyDescent="0.25">
      <c r="A468" s="31"/>
    </row>
    <row r="469" spans="1:1" ht="15" x14ac:dyDescent="0.25">
      <c r="A469" s="31"/>
    </row>
    <row r="470" spans="1:1" ht="15" x14ac:dyDescent="0.25">
      <c r="A470" s="31"/>
    </row>
    <row r="471" spans="1:1" ht="15" x14ac:dyDescent="0.25">
      <c r="A471" s="31"/>
    </row>
    <row r="472" spans="1:1" ht="15" x14ac:dyDescent="0.25">
      <c r="A472" s="31"/>
    </row>
    <row r="473" spans="1:1" ht="15" x14ac:dyDescent="0.25">
      <c r="A473" s="31"/>
    </row>
    <row r="474" spans="1:1" ht="15" x14ac:dyDescent="0.25">
      <c r="A474" s="31"/>
    </row>
    <row r="475" spans="1:1" ht="15" x14ac:dyDescent="0.25">
      <c r="A475" s="31"/>
    </row>
    <row r="476" spans="1:1" ht="15" x14ac:dyDescent="0.25">
      <c r="A476" s="31"/>
    </row>
    <row r="477" spans="1:1" ht="15" x14ac:dyDescent="0.25">
      <c r="A477" s="31"/>
    </row>
    <row r="478" spans="1:1" ht="15" x14ac:dyDescent="0.25">
      <c r="A478" s="31"/>
    </row>
    <row r="479" spans="1:1" ht="15" x14ac:dyDescent="0.25">
      <c r="A479" s="31"/>
    </row>
    <row r="480" spans="1:1" ht="15" x14ac:dyDescent="0.25">
      <c r="A480" s="31"/>
    </row>
    <row r="481" spans="1:1" ht="15" x14ac:dyDescent="0.25">
      <c r="A481" s="31"/>
    </row>
    <row r="482" spans="1:1" ht="15" x14ac:dyDescent="0.25">
      <c r="A482" s="31"/>
    </row>
    <row r="483" spans="1:1" ht="15" x14ac:dyDescent="0.25">
      <c r="A483" s="31"/>
    </row>
    <row r="484" spans="1:1" ht="15" x14ac:dyDescent="0.25">
      <c r="A484" s="31"/>
    </row>
    <row r="485" spans="1:1" ht="15" x14ac:dyDescent="0.25">
      <c r="A485" s="31"/>
    </row>
    <row r="486" spans="1:1" ht="15" x14ac:dyDescent="0.25">
      <c r="A486" s="31"/>
    </row>
    <row r="487" spans="1:1" ht="15" x14ac:dyDescent="0.25">
      <c r="A487" s="31"/>
    </row>
    <row r="488" spans="1:1" ht="15" x14ac:dyDescent="0.25">
      <c r="A488" s="31"/>
    </row>
    <row r="489" spans="1:1" ht="15" x14ac:dyDescent="0.25">
      <c r="A489" s="31"/>
    </row>
    <row r="490" spans="1:1" ht="15" x14ac:dyDescent="0.25">
      <c r="A490" s="31"/>
    </row>
    <row r="491" spans="1:1" ht="15" x14ac:dyDescent="0.25">
      <c r="A491" s="31"/>
    </row>
    <row r="492" spans="1:1" ht="15" x14ac:dyDescent="0.25">
      <c r="A492" s="31"/>
    </row>
    <row r="493" spans="1:1" ht="15" x14ac:dyDescent="0.25">
      <c r="A493" s="31"/>
    </row>
    <row r="494" spans="1:1" ht="15" x14ac:dyDescent="0.25">
      <c r="A494" s="31"/>
    </row>
    <row r="495" spans="1:1" ht="15" x14ac:dyDescent="0.25">
      <c r="A495" s="31"/>
    </row>
    <row r="496" spans="1:1" ht="15" x14ac:dyDescent="0.25">
      <c r="A496" s="31"/>
    </row>
    <row r="497" spans="1:1" ht="15" x14ac:dyDescent="0.25">
      <c r="A497" s="31"/>
    </row>
    <row r="498" spans="1:1" ht="15" x14ac:dyDescent="0.25">
      <c r="A498" s="31"/>
    </row>
    <row r="499" spans="1:1" ht="15" x14ac:dyDescent="0.25">
      <c r="A499" s="31"/>
    </row>
    <row r="500" spans="1:1" ht="15" x14ac:dyDescent="0.25">
      <c r="A500" s="31"/>
    </row>
    <row r="501" spans="1:1" ht="15" x14ac:dyDescent="0.25">
      <c r="A501" s="31"/>
    </row>
    <row r="502" spans="1:1" ht="15" x14ac:dyDescent="0.25">
      <c r="A502" s="31"/>
    </row>
    <row r="503" spans="1:1" ht="15" x14ac:dyDescent="0.25">
      <c r="A503" s="31"/>
    </row>
    <row r="504" spans="1:1" ht="15" x14ac:dyDescent="0.25">
      <c r="A504" s="31"/>
    </row>
    <row r="505" spans="1:1" ht="15" x14ac:dyDescent="0.25">
      <c r="A505" s="31"/>
    </row>
    <row r="506" spans="1:1" ht="15" x14ac:dyDescent="0.25">
      <c r="A506" s="31"/>
    </row>
    <row r="507" spans="1:1" ht="15" x14ac:dyDescent="0.25">
      <c r="A507" s="31"/>
    </row>
    <row r="508" spans="1:1" ht="15" x14ac:dyDescent="0.25">
      <c r="A508" s="31"/>
    </row>
    <row r="509" spans="1:1" ht="15" x14ac:dyDescent="0.25">
      <c r="A509" s="31"/>
    </row>
    <row r="510" spans="1:1" ht="15" x14ac:dyDescent="0.25">
      <c r="A510" s="31"/>
    </row>
    <row r="511" spans="1:1" ht="15" x14ac:dyDescent="0.25">
      <c r="A511" s="31"/>
    </row>
    <row r="512" spans="1:1" ht="15" x14ac:dyDescent="0.25">
      <c r="A512" s="31"/>
    </row>
    <row r="513" spans="1:1" ht="15" x14ac:dyDescent="0.25">
      <c r="A513" s="31"/>
    </row>
    <row r="514" spans="1:1" ht="15" x14ac:dyDescent="0.25">
      <c r="A514" s="31"/>
    </row>
    <row r="515" spans="1:1" ht="15" x14ac:dyDescent="0.25">
      <c r="A515" s="31"/>
    </row>
    <row r="516" spans="1:1" ht="15" x14ac:dyDescent="0.25">
      <c r="A516" s="31"/>
    </row>
    <row r="517" spans="1:1" ht="15" x14ac:dyDescent="0.25">
      <c r="A517" s="31"/>
    </row>
    <row r="518" spans="1:1" ht="15" x14ac:dyDescent="0.25">
      <c r="A518" s="31"/>
    </row>
    <row r="519" spans="1:1" ht="15" x14ac:dyDescent="0.25">
      <c r="A519" s="31"/>
    </row>
    <row r="520" spans="1:1" ht="15" x14ac:dyDescent="0.25">
      <c r="A520" s="31"/>
    </row>
    <row r="521" spans="1:1" ht="15" x14ac:dyDescent="0.25">
      <c r="A521" s="31"/>
    </row>
    <row r="522" spans="1:1" ht="15" x14ac:dyDescent="0.25">
      <c r="A522" s="31"/>
    </row>
    <row r="523" spans="1:1" ht="15" x14ac:dyDescent="0.25">
      <c r="A523" s="31"/>
    </row>
    <row r="524" spans="1:1" ht="15" x14ac:dyDescent="0.25">
      <c r="A524" s="31"/>
    </row>
    <row r="525" spans="1:1" ht="15" x14ac:dyDescent="0.25">
      <c r="A525" s="31"/>
    </row>
    <row r="526" spans="1:1" ht="15" x14ac:dyDescent="0.25">
      <c r="A526" s="31"/>
    </row>
    <row r="527" spans="1:1" ht="15" x14ac:dyDescent="0.25">
      <c r="A527" s="31"/>
    </row>
    <row r="528" spans="1:1" ht="15" x14ac:dyDescent="0.25">
      <c r="A528" s="31"/>
    </row>
    <row r="529" spans="1:1" ht="15" x14ac:dyDescent="0.25">
      <c r="A529" s="31"/>
    </row>
    <row r="530" spans="1:1" ht="15" x14ac:dyDescent="0.25">
      <c r="A530" s="31"/>
    </row>
    <row r="531" spans="1:1" ht="15" x14ac:dyDescent="0.25">
      <c r="A531" s="31"/>
    </row>
    <row r="532" spans="1:1" ht="15" x14ac:dyDescent="0.25">
      <c r="A532" s="31"/>
    </row>
    <row r="533" spans="1:1" ht="15" x14ac:dyDescent="0.25">
      <c r="A533" s="31"/>
    </row>
    <row r="534" spans="1:1" ht="15" x14ac:dyDescent="0.25">
      <c r="A534" s="31"/>
    </row>
    <row r="535" spans="1:1" ht="15" x14ac:dyDescent="0.25">
      <c r="A535" s="31"/>
    </row>
    <row r="536" spans="1:1" ht="15" x14ac:dyDescent="0.25">
      <c r="A536" s="31"/>
    </row>
    <row r="537" spans="1:1" ht="15" x14ac:dyDescent="0.25">
      <c r="A537" s="31"/>
    </row>
    <row r="538" spans="1:1" ht="15" x14ac:dyDescent="0.25">
      <c r="A538" s="31"/>
    </row>
    <row r="539" spans="1:1" ht="15" x14ac:dyDescent="0.25">
      <c r="A539" s="31"/>
    </row>
    <row r="540" spans="1:1" ht="15" x14ac:dyDescent="0.25">
      <c r="A540" s="31"/>
    </row>
    <row r="541" spans="1:1" ht="15" x14ac:dyDescent="0.25">
      <c r="A541" s="31"/>
    </row>
    <row r="542" spans="1:1" ht="15" x14ac:dyDescent="0.25">
      <c r="A542" s="31"/>
    </row>
    <row r="543" spans="1:1" ht="15" x14ac:dyDescent="0.25">
      <c r="A543" s="31"/>
    </row>
    <row r="544" spans="1:1" ht="15" x14ac:dyDescent="0.25">
      <c r="A544" s="31"/>
    </row>
    <row r="545" spans="1:1" ht="15" x14ac:dyDescent="0.25">
      <c r="A545" s="31"/>
    </row>
    <row r="546" spans="1:1" ht="15" x14ac:dyDescent="0.25">
      <c r="A546" s="31"/>
    </row>
    <row r="547" spans="1:1" ht="15" x14ac:dyDescent="0.25">
      <c r="A547" s="31"/>
    </row>
    <row r="548" spans="1:1" ht="15" x14ac:dyDescent="0.25">
      <c r="A548" s="31"/>
    </row>
    <row r="549" spans="1:1" ht="15" x14ac:dyDescent="0.25">
      <c r="A549" s="31"/>
    </row>
    <row r="550" spans="1:1" ht="15" x14ac:dyDescent="0.25">
      <c r="A550" s="31"/>
    </row>
    <row r="551" spans="1:1" ht="15" x14ac:dyDescent="0.25">
      <c r="A551" s="31"/>
    </row>
    <row r="552" spans="1:1" ht="15" x14ac:dyDescent="0.25">
      <c r="A552" s="31"/>
    </row>
    <row r="553" spans="1:1" ht="15" x14ac:dyDescent="0.25">
      <c r="A553" s="31"/>
    </row>
    <row r="554" spans="1:1" ht="15" x14ac:dyDescent="0.25">
      <c r="A554" s="31"/>
    </row>
    <row r="555" spans="1:1" ht="15" x14ac:dyDescent="0.25">
      <c r="A555" s="31"/>
    </row>
    <row r="556" spans="1:1" ht="15" x14ac:dyDescent="0.25">
      <c r="A556" s="31"/>
    </row>
    <row r="557" spans="1:1" ht="15" x14ac:dyDescent="0.25">
      <c r="A557" s="31"/>
    </row>
    <row r="558" spans="1:1" ht="15" x14ac:dyDescent="0.25">
      <c r="A558" s="31"/>
    </row>
    <row r="559" spans="1:1" ht="15" x14ac:dyDescent="0.25">
      <c r="A559" s="31"/>
    </row>
    <row r="560" spans="1:1" ht="15" x14ac:dyDescent="0.25">
      <c r="A560" s="31"/>
    </row>
    <row r="561" spans="1:1" ht="15" x14ac:dyDescent="0.25">
      <c r="A561" s="31"/>
    </row>
    <row r="562" spans="1:1" ht="15" x14ac:dyDescent="0.25">
      <c r="A562" s="31"/>
    </row>
    <row r="563" spans="1:1" ht="15" x14ac:dyDescent="0.25">
      <c r="A563" s="31"/>
    </row>
    <row r="564" spans="1:1" ht="15" x14ac:dyDescent="0.25">
      <c r="A564" s="31"/>
    </row>
    <row r="565" spans="1:1" ht="15" x14ac:dyDescent="0.25">
      <c r="A565" s="31"/>
    </row>
    <row r="566" spans="1:1" ht="15" x14ac:dyDescent="0.25">
      <c r="A566" s="31"/>
    </row>
    <row r="567" spans="1:1" ht="15" x14ac:dyDescent="0.25">
      <c r="A567" s="31"/>
    </row>
    <row r="568" spans="1:1" ht="15" x14ac:dyDescent="0.25">
      <c r="A568" s="31"/>
    </row>
    <row r="569" spans="1:1" ht="15" x14ac:dyDescent="0.25">
      <c r="A569" s="31"/>
    </row>
    <row r="570" spans="1:1" ht="15" x14ac:dyDescent="0.25">
      <c r="A570" s="31"/>
    </row>
    <row r="571" spans="1:1" ht="15" x14ac:dyDescent="0.25">
      <c r="A571" s="31"/>
    </row>
    <row r="572" spans="1:1" ht="15" x14ac:dyDescent="0.25">
      <c r="A572" s="31"/>
    </row>
    <row r="573" spans="1:1" ht="15" x14ac:dyDescent="0.25">
      <c r="A573" s="31"/>
    </row>
    <row r="574" spans="1:1" ht="15" x14ac:dyDescent="0.25">
      <c r="A574" s="31"/>
    </row>
    <row r="575" spans="1:1" ht="15" x14ac:dyDescent="0.25">
      <c r="A575" s="31"/>
    </row>
    <row r="576" spans="1:1" ht="15" x14ac:dyDescent="0.25">
      <c r="A576" s="31"/>
    </row>
    <row r="577" spans="1:1" ht="15" x14ac:dyDescent="0.25">
      <c r="A577" s="31"/>
    </row>
    <row r="578" spans="1:1" ht="15" x14ac:dyDescent="0.25">
      <c r="A578" s="31"/>
    </row>
    <row r="579" spans="1:1" ht="15" x14ac:dyDescent="0.25">
      <c r="A579" s="31"/>
    </row>
    <row r="580" spans="1:1" ht="15" x14ac:dyDescent="0.25">
      <c r="A580" s="31"/>
    </row>
    <row r="581" spans="1:1" ht="15" x14ac:dyDescent="0.25">
      <c r="A581" s="31"/>
    </row>
    <row r="582" spans="1:1" ht="15" x14ac:dyDescent="0.25">
      <c r="A582" s="31"/>
    </row>
    <row r="583" spans="1:1" ht="15" x14ac:dyDescent="0.25">
      <c r="A583" s="31"/>
    </row>
    <row r="584" spans="1:1" ht="15" x14ac:dyDescent="0.25">
      <c r="A584" s="31"/>
    </row>
    <row r="585" spans="1:1" ht="15" x14ac:dyDescent="0.25">
      <c r="A585" s="31"/>
    </row>
    <row r="586" spans="1:1" ht="15" x14ac:dyDescent="0.25">
      <c r="A586" s="31"/>
    </row>
    <row r="587" spans="1:1" ht="15" x14ac:dyDescent="0.25">
      <c r="A587" s="31"/>
    </row>
    <row r="588" spans="1:1" ht="15" x14ac:dyDescent="0.25">
      <c r="A588" s="31"/>
    </row>
    <row r="589" spans="1:1" ht="15" x14ac:dyDescent="0.25">
      <c r="A589" s="31"/>
    </row>
    <row r="590" spans="1:1" ht="15" x14ac:dyDescent="0.25">
      <c r="A590" s="31"/>
    </row>
    <row r="591" spans="1:1" ht="15" x14ac:dyDescent="0.25">
      <c r="A591" s="31"/>
    </row>
    <row r="592" spans="1:1" ht="15" x14ac:dyDescent="0.25">
      <c r="A592" s="31"/>
    </row>
    <row r="593" spans="1:1" ht="15" x14ac:dyDescent="0.25">
      <c r="A593" s="31"/>
    </row>
    <row r="594" spans="1:1" ht="15" x14ac:dyDescent="0.25">
      <c r="A594" s="31"/>
    </row>
    <row r="595" spans="1:1" ht="15" x14ac:dyDescent="0.25">
      <c r="A595" s="31"/>
    </row>
    <row r="596" spans="1:1" ht="15" x14ac:dyDescent="0.25">
      <c r="A596" s="31"/>
    </row>
    <row r="597" spans="1:1" ht="15" x14ac:dyDescent="0.25">
      <c r="A597" s="31"/>
    </row>
    <row r="598" spans="1:1" ht="15" x14ac:dyDescent="0.25">
      <c r="A598" s="31"/>
    </row>
    <row r="599" spans="1:1" ht="15" x14ac:dyDescent="0.25">
      <c r="A599" s="31"/>
    </row>
    <row r="600" spans="1:1" ht="15" x14ac:dyDescent="0.25">
      <c r="A600" s="31"/>
    </row>
    <row r="601" spans="1:1" ht="15" x14ac:dyDescent="0.25">
      <c r="A601" s="31"/>
    </row>
    <row r="602" spans="1:1" ht="15" x14ac:dyDescent="0.25">
      <c r="A602" s="31"/>
    </row>
    <row r="603" spans="1:1" ht="15" x14ac:dyDescent="0.25">
      <c r="A603" s="31"/>
    </row>
    <row r="604" spans="1:1" ht="15" x14ac:dyDescent="0.25">
      <c r="A604" s="31"/>
    </row>
    <row r="605" spans="1:1" ht="15" x14ac:dyDescent="0.25">
      <c r="A605" s="31"/>
    </row>
    <row r="606" spans="1:1" ht="15" x14ac:dyDescent="0.25">
      <c r="A606" s="31"/>
    </row>
    <row r="607" spans="1:1" ht="15" x14ac:dyDescent="0.25">
      <c r="A607" s="31"/>
    </row>
    <row r="608" spans="1:1" ht="15" x14ac:dyDescent="0.25">
      <c r="A608" s="31"/>
    </row>
    <row r="609" spans="1:1" ht="15" x14ac:dyDescent="0.25">
      <c r="A609" s="31"/>
    </row>
    <row r="610" spans="1:1" ht="15" x14ac:dyDescent="0.25">
      <c r="A610" s="31"/>
    </row>
    <row r="611" spans="1:1" ht="15" x14ac:dyDescent="0.25">
      <c r="A611" s="31"/>
    </row>
    <row r="612" spans="1:1" ht="15" x14ac:dyDescent="0.25">
      <c r="A612" s="31"/>
    </row>
    <row r="613" spans="1:1" ht="15" x14ac:dyDescent="0.25">
      <c r="A613" s="31"/>
    </row>
    <row r="614" spans="1:1" ht="15" x14ac:dyDescent="0.25">
      <c r="A614" s="31"/>
    </row>
    <row r="615" spans="1:1" ht="15" x14ac:dyDescent="0.25">
      <c r="A615" s="31"/>
    </row>
    <row r="616" spans="1:1" ht="15" x14ac:dyDescent="0.25">
      <c r="A616" s="31"/>
    </row>
    <row r="617" spans="1:1" ht="15" x14ac:dyDescent="0.25">
      <c r="A617" s="31"/>
    </row>
    <row r="618" spans="1:1" ht="15" x14ac:dyDescent="0.25">
      <c r="A618" s="31"/>
    </row>
    <row r="619" spans="1:1" ht="15" x14ac:dyDescent="0.25">
      <c r="A619" s="31"/>
    </row>
    <row r="620" spans="1:1" ht="15" x14ac:dyDescent="0.25">
      <c r="A620" s="31"/>
    </row>
    <row r="621" spans="1:1" ht="15" x14ac:dyDescent="0.25">
      <c r="A621" s="31"/>
    </row>
    <row r="622" spans="1:1" ht="15" x14ac:dyDescent="0.25">
      <c r="A622" s="31"/>
    </row>
    <row r="623" spans="1:1" ht="15" x14ac:dyDescent="0.25">
      <c r="A623" s="31"/>
    </row>
    <row r="624" spans="1:1" ht="15" x14ac:dyDescent="0.25">
      <c r="A624" s="31"/>
    </row>
    <row r="625" spans="1:1" ht="15" x14ac:dyDescent="0.25">
      <c r="A625" s="31"/>
    </row>
    <row r="626" spans="1:1" ht="15" x14ac:dyDescent="0.25">
      <c r="A626" s="31"/>
    </row>
    <row r="627" spans="1:1" ht="15" x14ac:dyDescent="0.25">
      <c r="A627" s="31"/>
    </row>
    <row r="628" spans="1:1" ht="15" x14ac:dyDescent="0.25">
      <c r="A628" s="31"/>
    </row>
    <row r="629" spans="1:1" ht="15" x14ac:dyDescent="0.25">
      <c r="A629" s="31"/>
    </row>
    <row r="630" spans="1:1" ht="15" x14ac:dyDescent="0.25">
      <c r="A630" s="31"/>
    </row>
    <row r="631" spans="1:1" ht="15" x14ac:dyDescent="0.25">
      <c r="A631" s="31"/>
    </row>
    <row r="632" spans="1:1" ht="15" x14ac:dyDescent="0.25">
      <c r="A632" s="31"/>
    </row>
    <row r="633" spans="1:1" ht="15" x14ac:dyDescent="0.25">
      <c r="A633" s="31"/>
    </row>
    <row r="634" spans="1:1" ht="15" x14ac:dyDescent="0.25">
      <c r="A634" s="31"/>
    </row>
    <row r="635" spans="1:1" ht="15" x14ac:dyDescent="0.25">
      <c r="A635" s="31"/>
    </row>
    <row r="636" spans="1:1" ht="15" x14ac:dyDescent="0.25">
      <c r="A636" s="31"/>
    </row>
    <row r="637" spans="1:1" ht="15" x14ac:dyDescent="0.25">
      <c r="A637" s="31"/>
    </row>
    <row r="638" spans="1:1" ht="15" x14ac:dyDescent="0.25">
      <c r="A638" s="31"/>
    </row>
    <row r="639" spans="1:1" ht="15" x14ac:dyDescent="0.25">
      <c r="A639" s="31"/>
    </row>
    <row r="640" spans="1:1" ht="15" x14ac:dyDescent="0.25">
      <c r="A640" s="31"/>
    </row>
    <row r="641" spans="1:1" ht="15" x14ac:dyDescent="0.25">
      <c r="A641" s="31"/>
    </row>
    <row r="642" spans="1:1" ht="15" x14ac:dyDescent="0.25">
      <c r="A642" s="31"/>
    </row>
    <row r="643" spans="1:1" ht="15" x14ac:dyDescent="0.25">
      <c r="A643" s="31"/>
    </row>
    <row r="644" spans="1:1" ht="15" x14ac:dyDescent="0.25">
      <c r="A644" s="31"/>
    </row>
    <row r="645" spans="1:1" ht="15" x14ac:dyDescent="0.25">
      <c r="A645" s="31"/>
    </row>
    <row r="646" spans="1:1" ht="15" x14ac:dyDescent="0.25">
      <c r="A646" s="31"/>
    </row>
    <row r="647" spans="1:1" ht="15" x14ac:dyDescent="0.25">
      <c r="A647" s="31"/>
    </row>
    <row r="648" spans="1:1" ht="15" x14ac:dyDescent="0.25">
      <c r="A648" s="31"/>
    </row>
    <row r="649" spans="1:1" ht="15" x14ac:dyDescent="0.25">
      <c r="A649" s="31"/>
    </row>
    <row r="650" spans="1:1" ht="15" x14ac:dyDescent="0.25">
      <c r="A650" s="31"/>
    </row>
    <row r="651" spans="1:1" ht="15" x14ac:dyDescent="0.25">
      <c r="A651" s="31"/>
    </row>
    <row r="652" spans="1:1" ht="15" x14ac:dyDescent="0.25">
      <c r="A652" s="31"/>
    </row>
    <row r="653" spans="1:1" ht="15" x14ac:dyDescent="0.25">
      <c r="A653" s="31"/>
    </row>
    <row r="654" spans="1:1" ht="15" x14ac:dyDescent="0.25">
      <c r="A654" s="31"/>
    </row>
    <row r="655" spans="1:1" ht="15" x14ac:dyDescent="0.25">
      <c r="A655" s="31"/>
    </row>
    <row r="656" spans="1:1" ht="15" x14ac:dyDescent="0.25">
      <c r="A656" s="31"/>
    </row>
    <row r="657" spans="1:1" ht="15" x14ac:dyDescent="0.25">
      <c r="A657" s="31"/>
    </row>
    <row r="658" spans="1:1" ht="15" x14ac:dyDescent="0.25">
      <c r="A658" s="31"/>
    </row>
    <row r="659" spans="1:1" ht="15" x14ac:dyDescent="0.25">
      <c r="A659" s="31"/>
    </row>
    <row r="660" spans="1:1" ht="15" x14ac:dyDescent="0.25">
      <c r="A660" s="31"/>
    </row>
    <row r="661" spans="1:1" ht="15" x14ac:dyDescent="0.25">
      <c r="A661" s="31"/>
    </row>
    <row r="662" spans="1:1" ht="15" x14ac:dyDescent="0.25">
      <c r="A662" s="31"/>
    </row>
    <row r="663" spans="1:1" ht="15" x14ac:dyDescent="0.25">
      <c r="A663" s="31"/>
    </row>
    <row r="664" spans="1:1" ht="15" x14ac:dyDescent="0.25">
      <c r="A664" s="31"/>
    </row>
    <row r="665" spans="1:1" ht="15" x14ac:dyDescent="0.25">
      <c r="A665" s="31"/>
    </row>
    <row r="666" spans="1:1" ht="15" x14ac:dyDescent="0.25">
      <c r="A666" s="31"/>
    </row>
    <row r="667" spans="1:1" ht="15" x14ac:dyDescent="0.25">
      <c r="A667" s="31"/>
    </row>
    <row r="668" spans="1:1" ht="15" x14ac:dyDescent="0.25">
      <c r="A668" s="31"/>
    </row>
    <row r="669" spans="1:1" ht="15" x14ac:dyDescent="0.25">
      <c r="A669" s="31"/>
    </row>
    <row r="670" spans="1:1" ht="15" x14ac:dyDescent="0.25">
      <c r="A670" s="31"/>
    </row>
    <row r="671" spans="1:1" ht="15" x14ac:dyDescent="0.25">
      <c r="A671" s="31"/>
    </row>
    <row r="672" spans="1:1" ht="15" x14ac:dyDescent="0.25">
      <c r="A672" s="31"/>
    </row>
    <row r="673" spans="1:1" ht="15" x14ac:dyDescent="0.25">
      <c r="A673" s="31"/>
    </row>
    <row r="674" spans="1:1" ht="15" x14ac:dyDescent="0.25">
      <c r="A674" s="31"/>
    </row>
    <row r="675" spans="1:1" ht="15" x14ac:dyDescent="0.25">
      <c r="A675" s="31"/>
    </row>
    <row r="676" spans="1:1" ht="15" x14ac:dyDescent="0.25">
      <c r="A676" s="31"/>
    </row>
    <row r="677" spans="1:1" ht="15" x14ac:dyDescent="0.25">
      <c r="A677" s="31"/>
    </row>
    <row r="678" spans="1:1" ht="15" x14ac:dyDescent="0.25">
      <c r="A678" s="31"/>
    </row>
    <row r="679" spans="1:1" ht="15" x14ac:dyDescent="0.25">
      <c r="A679" s="31"/>
    </row>
    <row r="680" spans="1:1" ht="15" x14ac:dyDescent="0.25">
      <c r="A680" s="31"/>
    </row>
    <row r="681" spans="1:1" ht="15" x14ac:dyDescent="0.25">
      <c r="A681" s="31"/>
    </row>
    <row r="682" spans="1:1" ht="15" x14ac:dyDescent="0.25">
      <c r="A682" s="31"/>
    </row>
    <row r="683" spans="1:1" ht="15" x14ac:dyDescent="0.25">
      <c r="A683" s="31"/>
    </row>
    <row r="684" spans="1:1" ht="15" x14ac:dyDescent="0.25">
      <c r="A684" s="31"/>
    </row>
    <row r="685" spans="1:1" ht="15" x14ac:dyDescent="0.25">
      <c r="A685" s="31"/>
    </row>
    <row r="686" spans="1:1" ht="15" x14ac:dyDescent="0.25">
      <c r="A686" s="31"/>
    </row>
    <row r="687" spans="1:1" ht="15" x14ac:dyDescent="0.25">
      <c r="A687" s="31"/>
    </row>
    <row r="688" spans="1:1" ht="15" x14ac:dyDescent="0.25">
      <c r="A688" s="31"/>
    </row>
    <row r="689" spans="1:1" ht="15" x14ac:dyDescent="0.25">
      <c r="A689" s="31"/>
    </row>
    <row r="690" spans="1:1" ht="15" x14ac:dyDescent="0.25">
      <c r="A690" s="31"/>
    </row>
    <row r="691" spans="1:1" ht="15" x14ac:dyDescent="0.25">
      <c r="A691" s="31"/>
    </row>
    <row r="692" spans="1:1" ht="15" x14ac:dyDescent="0.25">
      <c r="A692" s="31"/>
    </row>
    <row r="693" spans="1:1" ht="15" x14ac:dyDescent="0.25">
      <c r="A693" s="31"/>
    </row>
    <row r="694" spans="1:1" ht="15" x14ac:dyDescent="0.25">
      <c r="A694" s="31"/>
    </row>
    <row r="695" spans="1:1" ht="15" x14ac:dyDescent="0.25">
      <c r="A695" s="31"/>
    </row>
    <row r="696" spans="1:1" ht="15" x14ac:dyDescent="0.25">
      <c r="A696" s="31"/>
    </row>
    <row r="697" spans="1:1" ht="15" x14ac:dyDescent="0.25">
      <c r="A697" s="31"/>
    </row>
    <row r="698" spans="1:1" ht="15" x14ac:dyDescent="0.25">
      <c r="A698" s="31"/>
    </row>
    <row r="699" spans="1:1" ht="15" x14ac:dyDescent="0.25">
      <c r="A699" s="31"/>
    </row>
    <row r="700" spans="1:1" ht="15" x14ac:dyDescent="0.25">
      <c r="A700" s="31"/>
    </row>
    <row r="701" spans="1:1" ht="15" x14ac:dyDescent="0.25">
      <c r="A701" s="31"/>
    </row>
    <row r="702" spans="1:1" ht="15" x14ac:dyDescent="0.25">
      <c r="A702" s="31"/>
    </row>
    <row r="703" spans="1:1" ht="15" x14ac:dyDescent="0.25">
      <c r="A703" s="31"/>
    </row>
    <row r="704" spans="1:1" ht="15" x14ac:dyDescent="0.25">
      <c r="A704" s="31"/>
    </row>
    <row r="705" spans="1:1" ht="15" x14ac:dyDescent="0.25">
      <c r="A705" s="31"/>
    </row>
    <row r="706" spans="1:1" ht="15" x14ac:dyDescent="0.25">
      <c r="A706" s="31"/>
    </row>
    <row r="707" spans="1:1" ht="15" x14ac:dyDescent="0.25">
      <c r="A707" s="31"/>
    </row>
    <row r="708" spans="1:1" ht="15" x14ac:dyDescent="0.25">
      <c r="A708" s="31"/>
    </row>
    <row r="709" spans="1:1" ht="15" x14ac:dyDescent="0.25">
      <c r="A709" s="31"/>
    </row>
    <row r="710" spans="1:1" ht="15" x14ac:dyDescent="0.25">
      <c r="A710" s="31"/>
    </row>
    <row r="711" spans="1:1" ht="15" x14ac:dyDescent="0.25">
      <c r="A711" s="31"/>
    </row>
    <row r="712" spans="1:1" ht="15" x14ac:dyDescent="0.25">
      <c r="A712" s="31"/>
    </row>
    <row r="713" spans="1:1" ht="15" x14ac:dyDescent="0.25">
      <c r="A713" s="31"/>
    </row>
    <row r="714" spans="1:1" ht="15" x14ac:dyDescent="0.25">
      <c r="A714" s="31"/>
    </row>
    <row r="715" spans="1:1" ht="15" x14ac:dyDescent="0.25">
      <c r="A715" s="31"/>
    </row>
    <row r="716" spans="1:1" ht="15" x14ac:dyDescent="0.25">
      <c r="A716" s="31"/>
    </row>
    <row r="717" spans="1:1" ht="15" x14ac:dyDescent="0.25">
      <c r="A717" s="31"/>
    </row>
    <row r="718" spans="1:1" ht="15" x14ac:dyDescent="0.25">
      <c r="A718" s="31"/>
    </row>
    <row r="719" spans="1:1" ht="15" x14ac:dyDescent="0.25">
      <c r="A719" s="31"/>
    </row>
    <row r="720" spans="1:1" ht="15" x14ac:dyDescent="0.25">
      <c r="A720" s="31"/>
    </row>
    <row r="721" spans="1:1" ht="15" x14ac:dyDescent="0.25">
      <c r="A721" s="31"/>
    </row>
    <row r="722" spans="1:1" ht="15" x14ac:dyDescent="0.25">
      <c r="A722" s="31"/>
    </row>
    <row r="723" spans="1:1" ht="15" x14ac:dyDescent="0.25">
      <c r="A723" s="31"/>
    </row>
    <row r="724" spans="1:1" ht="15" x14ac:dyDescent="0.25">
      <c r="A724" s="31"/>
    </row>
    <row r="725" spans="1:1" ht="15" x14ac:dyDescent="0.25">
      <c r="A725" s="31"/>
    </row>
    <row r="726" spans="1:1" ht="15" x14ac:dyDescent="0.25">
      <c r="A726" s="31"/>
    </row>
    <row r="727" spans="1:1" ht="15" x14ac:dyDescent="0.25">
      <c r="A727" s="31"/>
    </row>
    <row r="728" spans="1:1" ht="15" x14ac:dyDescent="0.25">
      <c r="A728" s="31"/>
    </row>
    <row r="729" spans="1:1" ht="15" x14ac:dyDescent="0.25">
      <c r="A729" s="31"/>
    </row>
    <row r="730" spans="1:1" ht="15" x14ac:dyDescent="0.25">
      <c r="A730" s="31"/>
    </row>
    <row r="731" spans="1:1" ht="15" x14ac:dyDescent="0.25">
      <c r="A731" s="31"/>
    </row>
    <row r="732" spans="1:1" ht="15" x14ac:dyDescent="0.25">
      <c r="A732" s="31"/>
    </row>
    <row r="733" spans="1:1" ht="15" x14ac:dyDescent="0.25">
      <c r="A733" s="31"/>
    </row>
    <row r="734" spans="1:1" ht="15" x14ac:dyDescent="0.25">
      <c r="A734" s="31"/>
    </row>
    <row r="735" spans="1:1" ht="15" x14ac:dyDescent="0.25">
      <c r="A735" s="31"/>
    </row>
    <row r="736" spans="1:1" ht="15" x14ac:dyDescent="0.25">
      <c r="A736" s="31"/>
    </row>
    <row r="737" spans="1:1" ht="15" x14ac:dyDescent="0.25">
      <c r="A737" s="31"/>
    </row>
    <row r="738" spans="1:1" ht="15" x14ac:dyDescent="0.25">
      <c r="A738" s="31"/>
    </row>
    <row r="739" spans="1:1" ht="15" x14ac:dyDescent="0.25">
      <c r="A739" s="31"/>
    </row>
    <row r="740" spans="1:1" ht="15" x14ac:dyDescent="0.25">
      <c r="A740" s="31"/>
    </row>
    <row r="741" spans="1:1" ht="15" x14ac:dyDescent="0.25">
      <c r="A741" s="31"/>
    </row>
    <row r="742" spans="1:1" ht="15" x14ac:dyDescent="0.25">
      <c r="A742" s="31"/>
    </row>
    <row r="743" spans="1:1" ht="15" x14ac:dyDescent="0.25">
      <c r="A743" s="31"/>
    </row>
    <row r="744" spans="1:1" ht="15" x14ac:dyDescent="0.25">
      <c r="A744" s="31"/>
    </row>
    <row r="745" spans="1:1" ht="15" x14ac:dyDescent="0.25">
      <c r="A745" s="31"/>
    </row>
    <row r="746" spans="1:1" ht="15" x14ac:dyDescent="0.25">
      <c r="A746" s="31"/>
    </row>
    <row r="747" spans="1:1" ht="15" x14ac:dyDescent="0.25">
      <c r="A747" s="31"/>
    </row>
    <row r="748" spans="1:1" ht="15" x14ac:dyDescent="0.25">
      <c r="A748" s="31"/>
    </row>
    <row r="749" spans="1:1" ht="15" x14ac:dyDescent="0.25">
      <c r="A749" s="31"/>
    </row>
    <row r="750" spans="1:1" ht="15" x14ac:dyDescent="0.25">
      <c r="A750" s="31"/>
    </row>
    <row r="751" spans="1:1" ht="15" x14ac:dyDescent="0.25">
      <c r="A751" s="31"/>
    </row>
    <row r="752" spans="1:1" ht="15" x14ac:dyDescent="0.25">
      <c r="A752" s="31"/>
    </row>
    <row r="753" spans="1:1" ht="15" x14ac:dyDescent="0.25">
      <c r="A753" s="31"/>
    </row>
    <row r="754" spans="1:1" ht="15" x14ac:dyDescent="0.25">
      <c r="A754" s="31"/>
    </row>
    <row r="755" spans="1:1" ht="15" x14ac:dyDescent="0.25">
      <c r="A755" s="31"/>
    </row>
    <row r="756" spans="1:1" ht="15" x14ac:dyDescent="0.25">
      <c r="A756" s="31"/>
    </row>
    <row r="757" spans="1:1" ht="15" x14ac:dyDescent="0.25">
      <c r="A757" s="31"/>
    </row>
    <row r="758" spans="1:1" ht="15" x14ac:dyDescent="0.25">
      <c r="A758" s="31"/>
    </row>
    <row r="759" spans="1:1" ht="15" x14ac:dyDescent="0.25">
      <c r="A759" s="31"/>
    </row>
    <row r="760" spans="1:1" ht="15" x14ac:dyDescent="0.25">
      <c r="A760" s="31"/>
    </row>
    <row r="761" spans="1:1" ht="15" x14ac:dyDescent="0.25">
      <c r="A761" s="31"/>
    </row>
    <row r="762" spans="1:1" ht="15" x14ac:dyDescent="0.25">
      <c r="A762" s="31"/>
    </row>
    <row r="763" spans="1:1" ht="15" x14ac:dyDescent="0.25">
      <c r="A763" s="31"/>
    </row>
    <row r="764" spans="1:1" ht="15" x14ac:dyDescent="0.25">
      <c r="A764" s="31"/>
    </row>
    <row r="765" spans="1:1" ht="15" x14ac:dyDescent="0.25">
      <c r="A765" s="31"/>
    </row>
    <row r="766" spans="1:1" ht="15" x14ac:dyDescent="0.25">
      <c r="A766" s="31"/>
    </row>
    <row r="767" spans="1:1" ht="15" x14ac:dyDescent="0.25">
      <c r="A767" s="31"/>
    </row>
    <row r="768" spans="1:1" ht="15" x14ac:dyDescent="0.25">
      <c r="A768" s="31"/>
    </row>
    <row r="769" spans="1:1" ht="15" x14ac:dyDescent="0.25">
      <c r="A769" s="31"/>
    </row>
    <row r="770" spans="1:1" ht="15" x14ac:dyDescent="0.25">
      <c r="A770" s="31"/>
    </row>
    <row r="771" spans="1:1" ht="15" x14ac:dyDescent="0.25">
      <c r="A771" s="31"/>
    </row>
    <row r="772" spans="1:1" ht="15" x14ac:dyDescent="0.25">
      <c r="A772" s="31"/>
    </row>
    <row r="773" spans="1:1" ht="15" x14ac:dyDescent="0.25">
      <c r="A773" s="31"/>
    </row>
    <row r="774" spans="1:1" ht="15" x14ac:dyDescent="0.25">
      <c r="A774" s="31"/>
    </row>
    <row r="775" spans="1:1" ht="15" x14ac:dyDescent="0.25">
      <c r="A775" s="31"/>
    </row>
    <row r="776" spans="1:1" ht="15" x14ac:dyDescent="0.25">
      <c r="A776" s="31"/>
    </row>
    <row r="777" spans="1:1" ht="15" x14ac:dyDescent="0.25">
      <c r="A777" s="31"/>
    </row>
    <row r="778" spans="1:1" ht="15" x14ac:dyDescent="0.25">
      <c r="A778" s="31"/>
    </row>
    <row r="779" spans="1:1" ht="15" x14ac:dyDescent="0.25">
      <c r="A779" s="31"/>
    </row>
    <row r="780" spans="1:1" ht="15" x14ac:dyDescent="0.25">
      <c r="A780" s="31"/>
    </row>
    <row r="781" spans="1:1" ht="15" x14ac:dyDescent="0.25">
      <c r="A781" s="31"/>
    </row>
    <row r="782" spans="1:1" ht="15" x14ac:dyDescent="0.25">
      <c r="A782" s="31"/>
    </row>
    <row r="783" spans="1:1" ht="15" x14ac:dyDescent="0.25">
      <c r="A783" s="31"/>
    </row>
    <row r="784" spans="1:1" ht="15" x14ac:dyDescent="0.25">
      <c r="A784" s="31"/>
    </row>
    <row r="785" spans="1:1" ht="15" x14ac:dyDescent="0.25">
      <c r="A785" s="31"/>
    </row>
    <row r="786" spans="1:1" ht="15" x14ac:dyDescent="0.25">
      <c r="A786" s="31"/>
    </row>
    <row r="787" spans="1:1" ht="15" x14ac:dyDescent="0.25">
      <c r="A787" s="31"/>
    </row>
    <row r="788" spans="1:1" ht="15" x14ac:dyDescent="0.25">
      <c r="A788" s="31"/>
    </row>
    <row r="789" spans="1:1" ht="15" x14ac:dyDescent="0.25">
      <c r="A789" s="31"/>
    </row>
    <row r="790" spans="1:1" ht="15" x14ac:dyDescent="0.25">
      <c r="A790" s="31"/>
    </row>
    <row r="791" spans="1:1" ht="15" x14ac:dyDescent="0.25">
      <c r="A791" s="31"/>
    </row>
    <row r="792" spans="1:1" ht="15" x14ac:dyDescent="0.25">
      <c r="A792" s="31"/>
    </row>
    <row r="793" spans="1:1" ht="15" x14ac:dyDescent="0.25">
      <c r="A793" s="31"/>
    </row>
    <row r="794" spans="1:1" ht="15" x14ac:dyDescent="0.25">
      <c r="A794" s="31"/>
    </row>
    <row r="795" spans="1:1" ht="15" x14ac:dyDescent="0.25">
      <c r="A795" s="31"/>
    </row>
    <row r="796" spans="1:1" ht="15" x14ac:dyDescent="0.25">
      <c r="A796" s="31"/>
    </row>
    <row r="797" spans="1:1" ht="15" x14ac:dyDescent="0.25">
      <c r="A797" s="31"/>
    </row>
    <row r="798" spans="1:1" ht="15" x14ac:dyDescent="0.25">
      <c r="A798" s="31"/>
    </row>
    <row r="799" spans="1:1" ht="15" x14ac:dyDescent="0.25">
      <c r="A799" s="31"/>
    </row>
    <row r="800" spans="1:1" ht="15" x14ac:dyDescent="0.25">
      <c r="A800" s="31"/>
    </row>
    <row r="801" spans="1:1" ht="15" x14ac:dyDescent="0.25">
      <c r="A801" s="31"/>
    </row>
    <row r="802" spans="1:1" ht="15" x14ac:dyDescent="0.25">
      <c r="A802" s="31"/>
    </row>
    <row r="803" spans="1:1" ht="15" x14ac:dyDescent="0.25">
      <c r="A803" s="31"/>
    </row>
    <row r="804" spans="1:1" ht="15" x14ac:dyDescent="0.25">
      <c r="A804" s="31"/>
    </row>
    <row r="805" spans="1:1" ht="15" x14ac:dyDescent="0.25">
      <c r="A805" s="31"/>
    </row>
    <row r="806" spans="1:1" ht="15" x14ac:dyDescent="0.25">
      <c r="A806" s="31"/>
    </row>
    <row r="807" spans="1:1" ht="15" x14ac:dyDescent="0.25">
      <c r="A807" s="31"/>
    </row>
    <row r="808" spans="1:1" ht="15" x14ac:dyDescent="0.25">
      <c r="A808" s="31"/>
    </row>
    <row r="809" spans="1:1" ht="15" x14ac:dyDescent="0.25">
      <c r="A809" s="31"/>
    </row>
    <row r="810" spans="1:1" ht="15" x14ac:dyDescent="0.25">
      <c r="A810" s="31"/>
    </row>
    <row r="811" spans="1:1" ht="15" x14ac:dyDescent="0.25">
      <c r="A811" s="31"/>
    </row>
    <row r="812" spans="1:1" ht="15" x14ac:dyDescent="0.25">
      <c r="A812" s="31"/>
    </row>
    <row r="813" spans="1:1" ht="15" x14ac:dyDescent="0.25">
      <c r="A813" s="31"/>
    </row>
    <row r="814" spans="1:1" ht="15" x14ac:dyDescent="0.25">
      <c r="A814" s="31"/>
    </row>
    <row r="815" spans="1:1" ht="15" x14ac:dyDescent="0.25">
      <c r="A815" s="31"/>
    </row>
    <row r="816" spans="1:1" ht="15" x14ac:dyDescent="0.25">
      <c r="A816" s="31"/>
    </row>
    <row r="817" spans="1:1" ht="15" x14ac:dyDescent="0.25">
      <c r="A817" s="31"/>
    </row>
    <row r="818" spans="1:1" ht="15" x14ac:dyDescent="0.25">
      <c r="A818" s="31"/>
    </row>
    <row r="819" spans="1:1" ht="15" x14ac:dyDescent="0.25">
      <c r="A819" s="31"/>
    </row>
    <row r="820" spans="1:1" ht="15" x14ac:dyDescent="0.25">
      <c r="A820" s="31"/>
    </row>
    <row r="821" spans="1:1" ht="15" x14ac:dyDescent="0.25">
      <c r="A821" s="31"/>
    </row>
    <row r="822" spans="1:1" ht="15" x14ac:dyDescent="0.25">
      <c r="A822" s="31"/>
    </row>
    <row r="823" spans="1:1" ht="15" x14ac:dyDescent="0.25">
      <c r="A823" s="31"/>
    </row>
    <row r="824" spans="1:1" ht="15" x14ac:dyDescent="0.25">
      <c r="A824" s="31"/>
    </row>
    <row r="825" spans="1:1" ht="15" x14ac:dyDescent="0.25">
      <c r="A825" s="31"/>
    </row>
    <row r="826" spans="1:1" ht="15" x14ac:dyDescent="0.25">
      <c r="A826" s="31"/>
    </row>
    <row r="827" spans="1:1" ht="15" x14ac:dyDescent="0.25">
      <c r="A827" s="31"/>
    </row>
    <row r="828" spans="1:1" ht="15" x14ac:dyDescent="0.25">
      <c r="A828" s="31"/>
    </row>
    <row r="829" spans="1:1" ht="15" x14ac:dyDescent="0.25">
      <c r="A829" s="31"/>
    </row>
    <row r="830" spans="1:1" ht="15" x14ac:dyDescent="0.25">
      <c r="A830" s="31"/>
    </row>
    <row r="831" spans="1:1" ht="15" x14ac:dyDescent="0.25">
      <c r="A831" s="31"/>
    </row>
    <row r="832" spans="1:1" ht="15" x14ac:dyDescent="0.25">
      <c r="A832" s="31"/>
    </row>
    <row r="833" spans="1:1" ht="15" x14ac:dyDescent="0.25">
      <c r="A833" s="31"/>
    </row>
    <row r="834" spans="1:1" ht="15" x14ac:dyDescent="0.25">
      <c r="A834" s="31"/>
    </row>
    <row r="835" spans="1:1" ht="15" x14ac:dyDescent="0.25">
      <c r="A835" s="31"/>
    </row>
    <row r="836" spans="1:1" ht="15" x14ac:dyDescent="0.25">
      <c r="A836" s="31"/>
    </row>
    <row r="837" spans="1:1" ht="15" x14ac:dyDescent="0.25">
      <c r="A837" s="31"/>
    </row>
    <row r="838" spans="1:1" ht="15" x14ac:dyDescent="0.25">
      <c r="A838" s="31"/>
    </row>
    <row r="839" spans="1:1" ht="15" x14ac:dyDescent="0.25">
      <c r="A839" s="31"/>
    </row>
    <row r="840" spans="1:1" ht="15" x14ac:dyDescent="0.25">
      <c r="A840" s="31"/>
    </row>
    <row r="841" spans="1:1" ht="15" x14ac:dyDescent="0.25">
      <c r="A841" s="31"/>
    </row>
    <row r="842" spans="1:1" ht="15" x14ac:dyDescent="0.25">
      <c r="A842" s="31"/>
    </row>
    <row r="843" spans="1:1" ht="15" x14ac:dyDescent="0.25">
      <c r="A843" s="31"/>
    </row>
    <row r="844" spans="1:1" ht="15" x14ac:dyDescent="0.25">
      <c r="A844" s="31"/>
    </row>
    <row r="845" spans="1:1" ht="15" x14ac:dyDescent="0.25">
      <c r="A845" s="31"/>
    </row>
    <row r="846" spans="1:1" ht="15" x14ac:dyDescent="0.25">
      <c r="A846" s="31"/>
    </row>
    <row r="847" spans="1:1" ht="15" x14ac:dyDescent="0.25">
      <c r="A847" s="31"/>
    </row>
    <row r="848" spans="1:1" ht="15" x14ac:dyDescent="0.25">
      <c r="A848" s="31"/>
    </row>
    <row r="849" spans="1:1" ht="15" x14ac:dyDescent="0.25">
      <c r="A849" s="31"/>
    </row>
    <row r="850" spans="1:1" ht="15" x14ac:dyDescent="0.25">
      <c r="A850" s="31"/>
    </row>
    <row r="851" spans="1:1" ht="15" x14ac:dyDescent="0.25">
      <c r="A851" s="31"/>
    </row>
    <row r="852" spans="1:1" ht="15" x14ac:dyDescent="0.25">
      <c r="A852" s="31"/>
    </row>
    <row r="853" spans="1:1" ht="15" x14ac:dyDescent="0.25">
      <c r="A853" s="31"/>
    </row>
    <row r="854" spans="1:1" ht="15" x14ac:dyDescent="0.25">
      <c r="A854" s="31"/>
    </row>
    <row r="855" spans="1:1" ht="15" x14ac:dyDescent="0.25">
      <c r="A855" s="31"/>
    </row>
    <row r="856" spans="1:1" ht="15" x14ac:dyDescent="0.25">
      <c r="A856" s="31"/>
    </row>
    <row r="857" spans="1:1" ht="15" x14ac:dyDescent="0.25">
      <c r="A857" s="31"/>
    </row>
    <row r="858" spans="1:1" ht="15" x14ac:dyDescent="0.25">
      <c r="A858" s="31"/>
    </row>
    <row r="859" spans="1:1" ht="15" x14ac:dyDescent="0.25">
      <c r="A859" s="31"/>
    </row>
    <row r="860" spans="1:1" ht="15" x14ac:dyDescent="0.25">
      <c r="A860" s="31"/>
    </row>
    <row r="861" spans="1:1" ht="15" x14ac:dyDescent="0.25">
      <c r="A861" s="31"/>
    </row>
    <row r="862" spans="1:1" ht="15" x14ac:dyDescent="0.25">
      <c r="A862" s="31"/>
    </row>
    <row r="863" spans="1:1" ht="15" x14ac:dyDescent="0.25">
      <c r="A863" s="31"/>
    </row>
    <row r="864" spans="1:1" ht="15" x14ac:dyDescent="0.25">
      <c r="A864" s="31"/>
    </row>
    <row r="865" spans="1:1" ht="15" x14ac:dyDescent="0.25">
      <c r="A865" s="31"/>
    </row>
    <row r="866" spans="1:1" ht="15" x14ac:dyDescent="0.25">
      <c r="A866" s="31"/>
    </row>
    <row r="867" spans="1:1" ht="15" x14ac:dyDescent="0.25">
      <c r="A867" s="31"/>
    </row>
    <row r="868" spans="1:1" ht="15" x14ac:dyDescent="0.25">
      <c r="A868" s="31"/>
    </row>
    <row r="869" spans="1:1" ht="15" x14ac:dyDescent="0.25">
      <c r="A869" s="31"/>
    </row>
    <row r="870" spans="1:1" ht="15" x14ac:dyDescent="0.25">
      <c r="A870" s="31"/>
    </row>
    <row r="871" spans="1:1" ht="15" x14ac:dyDescent="0.25">
      <c r="A871" s="31"/>
    </row>
    <row r="872" spans="1:1" ht="15" x14ac:dyDescent="0.25">
      <c r="A872" s="31"/>
    </row>
    <row r="873" spans="1:1" ht="15" x14ac:dyDescent="0.25">
      <c r="A873" s="31"/>
    </row>
    <row r="874" spans="1:1" ht="15" x14ac:dyDescent="0.25">
      <c r="A874" s="31"/>
    </row>
    <row r="875" spans="1:1" ht="15" x14ac:dyDescent="0.25">
      <c r="A875" s="31"/>
    </row>
    <row r="876" spans="1:1" ht="15" x14ac:dyDescent="0.25">
      <c r="A876" s="31"/>
    </row>
    <row r="877" spans="1:1" ht="15" x14ac:dyDescent="0.25">
      <c r="A877" s="31"/>
    </row>
    <row r="878" spans="1:1" ht="15" x14ac:dyDescent="0.25">
      <c r="A878" s="31"/>
    </row>
    <row r="879" spans="1:1" ht="15" x14ac:dyDescent="0.25">
      <c r="A879" s="31"/>
    </row>
    <row r="880" spans="1:1" ht="15" x14ac:dyDescent="0.25">
      <c r="A880" s="31"/>
    </row>
    <row r="881" spans="1:1" ht="15" x14ac:dyDescent="0.25">
      <c r="A881" s="31"/>
    </row>
    <row r="882" spans="1:1" ht="15" x14ac:dyDescent="0.25">
      <c r="A882" s="31"/>
    </row>
    <row r="883" spans="1:1" ht="15" x14ac:dyDescent="0.25">
      <c r="A883" s="31"/>
    </row>
    <row r="884" spans="1:1" ht="15" x14ac:dyDescent="0.25">
      <c r="A884" s="31"/>
    </row>
    <row r="885" spans="1:1" ht="15" x14ac:dyDescent="0.25">
      <c r="A885" s="31"/>
    </row>
    <row r="886" spans="1:1" ht="15" x14ac:dyDescent="0.25">
      <c r="A886" s="31"/>
    </row>
    <row r="887" spans="1:1" ht="15" x14ac:dyDescent="0.25">
      <c r="A887" s="31"/>
    </row>
    <row r="888" spans="1:1" ht="15" x14ac:dyDescent="0.25">
      <c r="A888" s="31"/>
    </row>
    <row r="889" spans="1:1" ht="15" x14ac:dyDescent="0.25">
      <c r="A889" s="31"/>
    </row>
    <row r="890" spans="1:1" ht="15" x14ac:dyDescent="0.25">
      <c r="A890" s="31"/>
    </row>
    <row r="891" spans="1:1" ht="15" x14ac:dyDescent="0.25">
      <c r="A891" s="31"/>
    </row>
    <row r="892" spans="1:1" ht="15" x14ac:dyDescent="0.25">
      <c r="A892" s="31"/>
    </row>
    <row r="893" spans="1:1" ht="15" x14ac:dyDescent="0.25">
      <c r="A893" s="31"/>
    </row>
    <row r="894" spans="1:1" ht="15" x14ac:dyDescent="0.25">
      <c r="A894" s="31"/>
    </row>
    <row r="895" spans="1:1" ht="15" x14ac:dyDescent="0.25">
      <c r="A895" s="31"/>
    </row>
    <row r="896" spans="1:1" ht="15" x14ac:dyDescent="0.25">
      <c r="A896" s="31"/>
    </row>
    <row r="897" spans="1:1" ht="15" x14ac:dyDescent="0.25">
      <c r="A897" s="31"/>
    </row>
    <row r="898" spans="1:1" ht="15" x14ac:dyDescent="0.25">
      <c r="A898" s="31"/>
    </row>
    <row r="899" spans="1:1" ht="15" x14ac:dyDescent="0.25">
      <c r="A899" s="31"/>
    </row>
    <row r="900" spans="1:1" ht="15" x14ac:dyDescent="0.25">
      <c r="A900" s="31"/>
    </row>
    <row r="901" spans="1:1" ht="15" x14ac:dyDescent="0.25">
      <c r="A901" s="31"/>
    </row>
    <row r="902" spans="1:1" ht="15" x14ac:dyDescent="0.25">
      <c r="A902" s="31"/>
    </row>
    <row r="903" spans="1:1" ht="15" x14ac:dyDescent="0.25">
      <c r="A903" s="31"/>
    </row>
    <row r="904" spans="1:1" ht="15" x14ac:dyDescent="0.25">
      <c r="A904" s="31"/>
    </row>
    <row r="905" spans="1:1" ht="15" x14ac:dyDescent="0.25">
      <c r="A905" s="31"/>
    </row>
    <row r="906" spans="1:1" ht="15" x14ac:dyDescent="0.25">
      <c r="A906" s="31"/>
    </row>
    <row r="907" spans="1:1" ht="15" x14ac:dyDescent="0.25">
      <c r="A907" s="31"/>
    </row>
    <row r="908" spans="1:1" ht="15" x14ac:dyDescent="0.25">
      <c r="A908" s="31"/>
    </row>
    <row r="909" spans="1:1" ht="15" x14ac:dyDescent="0.25">
      <c r="A909" s="31"/>
    </row>
    <row r="910" spans="1:1" ht="15" x14ac:dyDescent="0.25">
      <c r="A910" s="31"/>
    </row>
    <row r="911" spans="1:1" ht="15" x14ac:dyDescent="0.25">
      <c r="A911" s="31"/>
    </row>
    <row r="912" spans="1:1" ht="15" x14ac:dyDescent="0.25">
      <c r="A912" s="31"/>
    </row>
    <row r="913" spans="1:1" ht="15" x14ac:dyDescent="0.25">
      <c r="A913" s="31"/>
    </row>
    <row r="914" spans="1:1" ht="15" x14ac:dyDescent="0.25">
      <c r="A914" s="31"/>
    </row>
    <row r="915" spans="1:1" ht="15" x14ac:dyDescent="0.25">
      <c r="A915" s="31"/>
    </row>
    <row r="916" spans="1:1" ht="15" x14ac:dyDescent="0.25">
      <c r="A916" s="31"/>
    </row>
    <row r="917" spans="1:1" ht="15" x14ac:dyDescent="0.25">
      <c r="A917" s="31"/>
    </row>
    <row r="918" spans="1:1" ht="15" x14ac:dyDescent="0.25">
      <c r="A918" s="31"/>
    </row>
    <row r="919" spans="1:1" ht="15" x14ac:dyDescent="0.25">
      <c r="A919" s="31"/>
    </row>
    <row r="920" spans="1:1" ht="15" x14ac:dyDescent="0.25">
      <c r="A920" s="31"/>
    </row>
    <row r="921" spans="1:1" ht="15" x14ac:dyDescent="0.25">
      <c r="A921" s="31"/>
    </row>
    <row r="922" spans="1:1" ht="15" x14ac:dyDescent="0.25">
      <c r="A922" s="31"/>
    </row>
    <row r="923" spans="1:1" ht="15" x14ac:dyDescent="0.25">
      <c r="A923" s="31"/>
    </row>
    <row r="924" spans="1:1" ht="15" x14ac:dyDescent="0.25">
      <c r="A924" s="31"/>
    </row>
    <row r="925" spans="1:1" ht="15" x14ac:dyDescent="0.25">
      <c r="A925" s="31"/>
    </row>
    <row r="926" spans="1:1" ht="15" x14ac:dyDescent="0.25">
      <c r="A926" s="31"/>
    </row>
    <row r="927" spans="1:1" ht="15" x14ac:dyDescent="0.25">
      <c r="A927" s="31"/>
    </row>
    <row r="928" spans="1:1" ht="15" x14ac:dyDescent="0.25">
      <c r="A928" s="31"/>
    </row>
    <row r="929" spans="1:1" ht="15" x14ac:dyDescent="0.25">
      <c r="A929" s="31"/>
    </row>
    <row r="930" spans="1:1" ht="15" x14ac:dyDescent="0.25">
      <c r="A930" s="31"/>
    </row>
    <row r="931" spans="1:1" ht="15" x14ac:dyDescent="0.25">
      <c r="A931" s="31"/>
    </row>
    <row r="932" spans="1:1" ht="15" x14ac:dyDescent="0.25">
      <c r="A932" s="31"/>
    </row>
    <row r="933" spans="1:1" ht="15" x14ac:dyDescent="0.25">
      <c r="A933" s="31"/>
    </row>
    <row r="934" spans="1:1" ht="15" x14ac:dyDescent="0.25">
      <c r="A934" s="31"/>
    </row>
    <row r="935" spans="1:1" ht="15" x14ac:dyDescent="0.25">
      <c r="A935" s="31"/>
    </row>
    <row r="936" spans="1:1" ht="15" x14ac:dyDescent="0.25">
      <c r="A936" s="31"/>
    </row>
    <row r="937" spans="1:1" ht="15" x14ac:dyDescent="0.25">
      <c r="A937" s="31"/>
    </row>
    <row r="938" spans="1:1" ht="15" x14ac:dyDescent="0.25">
      <c r="A938" s="31"/>
    </row>
    <row r="939" spans="1:1" ht="15" x14ac:dyDescent="0.25">
      <c r="A939" s="31"/>
    </row>
    <row r="940" spans="1:1" ht="15" x14ac:dyDescent="0.25">
      <c r="A940" s="31"/>
    </row>
    <row r="941" spans="1:1" ht="15" x14ac:dyDescent="0.25">
      <c r="A941" s="31"/>
    </row>
    <row r="942" spans="1:1" ht="15" x14ac:dyDescent="0.25">
      <c r="A942" s="31"/>
    </row>
    <row r="943" spans="1:1" ht="15" x14ac:dyDescent="0.25">
      <c r="A943" s="31"/>
    </row>
    <row r="944" spans="1:1" ht="15" x14ac:dyDescent="0.25">
      <c r="A944" s="31"/>
    </row>
    <row r="945" spans="1:1" ht="15" x14ac:dyDescent="0.25">
      <c r="A945" s="31"/>
    </row>
    <row r="946" spans="1:1" ht="15" x14ac:dyDescent="0.25">
      <c r="A946" s="31"/>
    </row>
    <row r="947" spans="1:1" ht="15" x14ac:dyDescent="0.25">
      <c r="A947" s="31"/>
    </row>
    <row r="948" spans="1:1" ht="15" x14ac:dyDescent="0.25">
      <c r="A948" s="31"/>
    </row>
    <row r="949" spans="1:1" ht="15" x14ac:dyDescent="0.25">
      <c r="A949" s="31"/>
    </row>
    <row r="950" spans="1:1" ht="15" x14ac:dyDescent="0.25">
      <c r="A950" s="31"/>
    </row>
    <row r="951" spans="1:1" ht="15" x14ac:dyDescent="0.25">
      <c r="A951" s="31"/>
    </row>
    <row r="952" spans="1:1" ht="15" x14ac:dyDescent="0.25">
      <c r="A952" s="31"/>
    </row>
    <row r="953" spans="1:1" ht="15" x14ac:dyDescent="0.25">
      <c r="A953" s="31"/>
    </row>
    <row r="954" spans="1:1" ht="15" x14ac:dyDescent="0.25">
      <c r="A954" s="31"/>
    </row>
    <row r="955" spans="1:1" ht="15" x14ac:dyDescent="0.25">
      <c r="A955" s="31"/>
    </row>
    <row r="956" spans="1:1" ht="15" x14ac:dyDescent="0.25">
      <c r="A956" s="31"/>
    </row>
    <row r="957" spans="1:1" ht="15" x14ac:dyDescent="0.25">
      <c r="A957" s="31"/>
    </row>
    <row r="958" spans="1:1" ht="15" x14ac:dyDescent="0.25">
      <c r="A958" s="31"/>
    </row>
    <row r="959" spans="1:1" ht="15" x14ac:dyDescent="0.25">
      <c r="A959" s="31"/>
    </row>
    <row r="960" spans="1:1" ht="15" x14ac:dyDescent="0.25">
      <c r="A960" s="31"/>
    </row>
    <row r="961" spans="1:1" ht="15" x14ac:dyDescent="0.25">
      <c r="A961" s="31"/>
    </row>
    <row r="962" spans="1:1" ht="15" x14ac:dyDescent="0.25">
      <c r="A962" s="31"/>
    </row>
    <row r="963" spans="1:1" ht="15" x14ac:dyDescent="0.25">
      <c r="A963" s="31"/>
    </row>
    <row r="964" spans="1:1" ht="15" x14ac:dyDescent="0.25">
      <c r="A964" s="31"/>
    </row>
    <row r="965" spans="1:1" ht="15" x14ac:dyDescent="0.25">
      <c r="A965" s="31"/>
    </row>
    <row r="966" spans="1:1" ht="15" x14ac:dyDescent="0.25">
      <c r="A966" s="31"/>
    </row>
    <row r="967" spans="1:1" ht="15" x14ac:dyDescent="0.25">
      <c r="A967" s="31"/>
    </row>
    <row r="968" spans="1:1" ht="15" x14ac:dyDescent="0.25">
      <c r="A968" s="31"/>
    </row>
    <row r="969" spans="1:1" ht="15" x14ac:dyDescent="0.25">
      <c r="A969" s="31"/>
    </row>
    <row r="970" spans="1:1" ht="15" x14ac:dyDescent="0.25">
      <c r="A970" s="31"/>
    </row>
    <row r="971" spans="1:1" ht="15" x14ac:dyDescent="0.25">
      <c r="A971" s="31"/>
    </row>
    <row r="972" spans="1:1" ht="15" x14ac:dyDescent="0.25">
      <c r="A972" s="31"/>
    </row>
    <row r="973" spans="1:1" ht="15" x14ac:dyDescent="0.25">
      <c r="A973" s="31"/>
    </row>
    <row r="974" spans="1:1" ht="15" x14ac:dyDescent="0.25">
      <c r="A974" s="31"/>
    </row>
    <row r="975" spans="1:1" ht="15" x14ac:dyDescent="0.25">
      <c r="A975" s="31"/>
    </row>
    <row r="976" spans="1:1" ht="15" x14ac:dyDescent="0.25">
      <c r="A976" s="31"/>
    </row>
    <row r="977" spans="1:1" ht="15" x14ac:dyDescent="0.25">
      <c r="A977" s="31"/>
    </row>
    <row r="978" spans="1:1" ht="15" x14ac:dyDescent="0.25">
      <c r="A978" s="31"/>
    </row>
    <row r="979" spans="1:1" ht="15" x14ac:dyDescent="0.25">
      <c r="A979" s="31"/>
    </row>
    <row r="980" spans="1:1" ht="15" x14ac:dyDescent="0.25">
      <c r="A980" s="31"/>
    </row>
    <row r="981" spans="1:1" ht="15" x14ac:dyDescent="0.25">
      <c r="A981" s="31"/>
    </row>
    <row r="982" spans="1:1" ht="15" x14ac:dyDescent="0.25">
      <c r="A982" s="31"/>
    </row>
    <row r="983" spans="1:1" ht="15" x14ac:dyDescent="0.25">
      <c r="A983" s="31"/>
    </row>
    <row r="984" spans="1:1" ht="15" x14ac:dyDescent="0.25">
      <c r="A984" s="31"/>
    </row>
    <row r="985" spans="1:1" ht="15" x14ac:dyDescent="0.25">
      <c r="A985" s="31"/>
    </row>
    <row r="986" spans="1:1" ht="15" x14ac:dyDescent="0.25">
      <c r="A986" s="31"/>
    </row>
    <row r="987" spans="1:1" ht="15" x14ac:dyDescent="0.25">
      <c r="A987" s="31"/>
    </row>
    <row r="988" spans="1:1" ht="15" x14ac:dyDescent="0.25">
      <c r="A988" s="31"/>
    </row>
    <row r="989" spans="1:1" ht="15" x14ac:dyDescent="0.25">
      <c r="A989" s="31"/>
    </row>
    <row r="990" spans="1:1" ht="15" x14ac:dyDescent="0.25">
      <c r="A990" s="31"/>
    </row>
    <row r="991" spans="1:1" ht="15" x14ac:dyDescent="0.25">
      <c r="A991" s="31"/>
    </row>
    <row r="992" spans="1:1" ht="15" x14ac:dyDescent="0.25">
      <c r="A992" s="31"/>
    </row>
    <row r="993" spans="1:1" ht="15" x14ac:dyDescent="0.25">
      <c r="A993" s="31"/>
    </row>
    <row r="994" spans="1:1" ht="15" x14ac:dyDescent="0.25">
      <c r="A994" s="31"/>
    </row>
    <row r="995" spans="1:1" ht="15" x14ac:dyDescent="0.25">
      <c r="A995" s="31"/>
    </row>
    <row r="996" spans="1:1" ht="15" x14ac:dyDescent="0.25">
      <c r="A996" s="31"/>
    </row>
    <row r="997" spans="1:1" ht="15" x14ac:dyDescent="0.25">
      <c r="A997" s="31"/>
    </row>
    <row r="998" spans="1:1" ht="15" x14ac:dyDescent="0.25">
      <c r="A998" s="31"/>
    </row>
    <row r="999" spans="1:1" ht="15" x14ac:dyDescent="0.25">
      <c r="A999" s="31"/>
    </row>
    <row r="1000" spans="1:1" ht="15" x14ac:dyDescent="0.25">
      <c r="A1000" s="31"/>
    </row>
    <row r="1001" spans="1:1" ht="15" x14ac:dyDescent="0.25">
      <c r="A1001" s="31"/>
    </row>
    <row r="1002" spans="1:1" ht="15" x14ac:dyDescent="0.25">
      <c r="A1002" s="31"/>
    </row>
    <row r="1003" spans="1:1" ht="15" x14ac:dyDescent="0.25">
      <c r="A1003" s="31"/>
    </row>
    <row r="1004" spans="1:1" ht="15" x14ac:dyDescent="0.25">
      <c r="A1004" s="31"/>
    </row>
    <row r="1005" spans="1:1" ht="15" x14ac:dyDescent="0.25">
      <c r="A1005" s="31"/>
    </row>
    <row r="1006" spans="1:1" ht="15" x14ac:dyDescent="0.25">
      <c r="A1006" s="31"/>
    </row>
    <row r="1007" spans="1:1" ht="15" x14ac:dyDescent="0.25">
      <c r="A1007" s="31"/>
    </row>
    <row r="1008" spans="1:1" ht="15" x14ac:dyDescent="0.25">
      <c r="A1008" s="31"/>
    </row>
    <row r="1009" spans="1:1" ht="15" x14ac:dyDescent="0.25">
      <c r="A1009" s="31"/>
    </row>
    <row r="1010" spans="1:1" ht="15" x14ac:dyDescent="0.25">
      <c r="A1010" s="31"/>
    </row>
    <row r="1011" spans="1:1" ht="15" x14ac:dyDescent="0.25">
      <c r="A1011" s="31"/>
    </row>
    <row r="1012" spans="1:1" ht="15" x14ac:dyDescent="0.25">
      <c r="A1012" s="31"/>
    </row>
    <row r="1013" spans="1:1" ht="15" x14ac:dyDescent="0.25">
      <c r="A1013" s="31"/>
    </row>
    <row r="1014" spans="1:1" ht="15" x14ac:dyDescent="0.25">
      <c r="A1014" s="31"/>
    </row>
    <row r="1015" spans="1:1" ht="15" x14ac:dyDescent="0.25">
      <c r="A1015" s="31"/>
    </row>
    <row r="1016" spans="1:1" ht="15" x14ac:dyDescent="0.25">
      <c r="A1016" s="31"/>
    </row>
    <row r="1017" spans="1:1" ht="15" x14ac:dyDescent="0.25">
      <c r="A1017" s="31"/>
    </row>
    <row r="1018" spans="1:1" ht="15" x14ac:dyDescent="0.25">
      <c r="A1018" s="31"/>
    </row>
    <row r="1019" spans="1:1" ht="15" x14ac:dyDescent="0.25">
      <c r="A1019" s="31"/>
    </row>
    <row r="1020" spans="1:1" ht="15" x14ac:dyDescent="0.25">
      <c r="A1020" s="31"/>
    </row>
  </sheetData>
  <autoFilter ref="A1:C1">
    <sortState ref="A2:C188">
      <sortCondition ref="A1"/>
    </sortState>
  </autoFilter>
  <dataConsolidate>
    <dataRefs count="2">
      <dataRef ref="C1:C3" sheet="Control" r:id="rId1"/>
      <dataRef ref="A5:A32" sheet="Control" r:id="rId2"/>
    </dataRefs>
  </dataConsolidate>
  <dataValidations count="1">
    <dataValidation type="list" allowBlank="1" showInputMessage="1" showErrorMessage="1" sqref="A84">
      <formula1>ORGANISATION</formula1>
    </dataValidation>
  </dataValidations>
  <pageMargins left="0.78740157499999996" right="0.78740157499999996" top="0.984251969" bottom="0.984251969" header="0.5" footer="0.5"/>
  <pageSetup paperSize="132" scale="31" orientation="portrait" horizontalDpi="300" verticalDpi="300" r:id="rId3"/>
  <headerFooter alignWithMargins="0"/>
  <legacyDrawing r:id="rId4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706"/>
  <sheetViews>
    <sheetView zoomScale="115" zoomScaleNormal="115" workbookViewId="0">
      <selection activeCell="C19" sqref="C19"/>
    </sheetView>
  </sheetViews>
  <sheetFormatPr baseColWidth="10" defaultColWidth="9.140625" defaultRowHeight="15" x14ac:dyDescent="0.25"/>
  <cols>
    <col min="1" max="1" width="27.28515625" style="5" customWidth="1"/>
    <col min="2" max="2" width="14.85546875" style="5" bestFit="1" customWidth="1"/>
    <col min="3" max="3" width="31.85546875" style="17" customWidth="1"/>
    <col min="4" max="4" width="7.85546875" customWidth="1"/>
    <col min="5" max="5" width="32.28515625" style="5" customWidth="1"/>
    <col min="6" max="6" width="8.7109375" customWidth="1"/>
  </cols>
  <sheetData>
    <row r="1" spans="1:6" x14ac:dyDescent="0.25">
      <c r="A1" s="2" t="s">
        <v>1444</v>
      </c>
      <c r="B1" s="3" t="s">
        <v>1445</v>
      </c>
      <c r="C1" s="14" t="s">
        <v>0</v>
      </c>
      <c r="D1" s="2" t="s">
        <v>2</v>
      </c>
      <c r="E1" s="2" t="s">
        <v>1</v>
      </c>
      <c r="F1" s="2" t="s">
        <v>2</v>
      </c>
    </row>
    <row r="2" spans="1:6" x14ac:dyDescent="0.25">
      <c r="A2" s="6" t="s">
        <v>693</v>
      </c>
      <c r="B2" s="4">
        <v>1</v>
      </c>
      <c r="C2" s="15" t="s">
        <v>772</v>
      </c>
      <c r="D2" s="7">
        <v>111</v>
      </c>
      <c r="E2" s="12" t="s">
        <v>1663</v>
      </c>
      <c r="F2" s="4" t="s">
        <v>3</v>
      </c>
    </row>
    <row r="3" spans="1:6" x14ac:dyDescent="0.25">
      <c r="A3" s="6" t="s">
        <v>694</v>
      </c>
      <c r="B3" s="4">
        <v>2</v>
      </c>
      <c r="C3" s="13" t="s">
        <v>773</v>
      </c>
      <c r="D3" s="7">
        <v>211</v>
      </c>
      <c r="E3" s="12" t="s">
        <v>1662</v>
      </c>
      <c r="F3" s="4" t="s">
        <v>4</v>
      </c>
    </row>
    <row r="4" spans="1:6" x14ac:dyDescent="0.25">
      <c r="A4" s="6" t="s">
        <v>1463</v>
      </c>
      <c r="B4" s="4">
        <v>3</v>
      </c>
      <c r="C4" s="13" t="s">
        <v>774</v>
      </c>
      <c r="D4" s="7">
        <v>212</v>
      </c>
      <c r="E4" s="9" t="s">
        <v>1661</v>
      </c>
      <c r="F4" s="4" t="s">
        <v>702</v>
      </c>
    </row>
    <row r="5" spans="1:6" x14ac:dyDescent="0.25">
      <c r="A5" s="6" t="s">
        <v>695</v>
      </c>
      <c r="B5" s="4">
        <v>4</v>
      </c>
      <c r="C5" s="13" t="s">
        <v>775</v>
      </c>
      <c r="D5" s="7">
        <v>213</v>
      </c>
      <c r="E5" s="9" t="s">
        <v>1660</v>
      </c>
      <c r="F5" s="4" t="s">
        <v>703</v>
      </c>
    </row>
    <row r="6" spans="1:6" x14ac:dyDescent="0.25">
      <c r="A6" s="6" t="s">
        <v>696</v>
      </c>
      <c r="B6" s="4">
        <v>5</v>
      </c>
      <c r="C6" s="13" t="s">
        <v>776</v>
      </c>
      <c r="D6" s="7">
        <v>214</v>
      </c>
      <c r="E6" s="9" t="s">
        <v>1659</v>
      </c>
      <c r="F6" s="4" t="s">
        <v>704</v>
      </c>
    </row>
    <row r="7" spans="1:6" x14ac:dyDescent="0.25">
      <c r="A7" s="6" t="s">
        <v>1464</v>
      </c>
      <c r="B7" s="4">
        <v>6</v>
      </c>
      <c r="C7" s="13" t="s">
        <v>777</v>
      </c>
      <c r="D7" s="7">
        <v>215</v>
      </c>
      <c r="E7" s="9" t="s">
        <v>1658</v>
      </c>
      <c r="F7" s="4" t="s">
        <v>705</v>
      </c>
    </row>
    <row r="8" spans="1:6" x14ac:dyDescent="0.25">
      <c r="A8" s="6" t="s">
        <v>697</v>
      </c>
      <c r="B8" s="4">
        <v>7</v>
      </c>
      <c r="C8" s="13" t="s">
        <v>778</v>
      </c>
      <c r="D8" s="7">
        <v>216</v>
      </c>
      <c r="E8" s="4" t="s">
        <v>9</v>
      </c>
      <c r="F8" s="4" t="s">
        <v>5</v>
      </c>
    </row>
    <row r="9" spans="1:6" x14ac:dyDescent="0.25">
      <c r="A9" s="6" t="s">
        <v>698</v>
      </c>
      <c r="B9" s="4">
        <v>8</v>
      </c>
      <c r="C9" s="13" t="s">
        <v>779</v>
      </c>
      <c r="D9" s="7">
        <v>217</v>
      </c>
      <c r="E9" s="4" t="s">
        <v>10</v>
      </c>
      <c r="F9" s="4" t="s">
        <v>6</v>
      </c>
    </row>
    <row r="10" spans="1:6" x14ac:dyDescent="0.25">
      <c r="A10" s="6" t="s">
        <v>699</v>
      </c>
      <c r="B10" s="4">
        <v>9</v>
      </c>
      <c r="C10" s="13" t="s">
        <v>811</v>
      </c>
      <c r="D10" s="7">
        <v>311</v>
      </c>
      <c r="E10" s="4" t="s">
        <v>11</v>
      </c>
      <c r="F10" s="4" t="s">
        <v>700</v>
      </c>
    </row>
    <row r="11" spans="1:6" x14ac:dyDescent="0.25">
      <c r="C11" s="13" t="s">
        <v>780</v>
      </c>
      <c r="D11" s="7">
        <v>312</v>
      </c>
      <c r="E11" s="4" t="s">
        <v>12</v>
      </c>
      <c r="F11" s="4" t="s">
        <v>701</v>
      </c>
    </row>
    <row r="12" spans="1:6" x14ac:dyDescent="0.25">
      <c r="C12" s="13" t="s">
        <v>781</v>
      </c>
      <c r="D12" s="7">
        <v>313</v>
      </c>
      <c r="E12" s="4" t="s">
        <v>13</v>
      </c>
      <c r="F12" s="4" t="s">
        <v>826</v>
      </c>
    </row>
    <row r="13" spans="1:6" x14ac:dyDescent="0.25">
      <c r="C13" s="13" t="s">
        <v>782</v>
      </c>
      <c r="D13" s="7">
        <v>314</v>
      </c>
      <c r="E13" s="4" t="s">
        <v>14</v>
      </c>
      <c r="F13" s="4" t="s">
        <v>827</v>
      </c>
    </row>
    <row r="14" spans="1:6" x14ac:dyDescent="0.25">
      <c r="C14" s="13" t="s">
        <v>783</v>
      </c>
      <c r="D14" s="7">
        <v>315</v>
      </c>
      <c r="E14" s="4" t="s">
        <v>15</v>
      </c>
      <c r="F14" s="4" t="s">
        <v>828</v>
      </c>
    </row>
    <row r="15" spans="1:6" x14ac:dyDescent="0.25">
      <c r="C15" s="13" t="s">
        <v>784</v>
      </c>
      <c r="D15" s="7">
        <v>316</v>
      </c>
      <c r="E15" s="4" t="s">
        <v>16</v>
      </c>
      <c r="F15" s="4" t="s">
        <v>829</v>
      </c>
    </row>
    <row r="16" spans="1:6" x14ac:dyDescent="0.25">
      <c r="C16" s="13" t="s">
        <v>785</v>
      </c>
      <c r="D16" s="7">
        <v>317</v>
      </c>
      <c r="E16" s="4" t="s">
        <v>17</v>
      </c>
      <c r="F16" s="4" t="s">
        <v>830</v>
      </c>
    </row>
    <row r="17" spans="3:6" x14ac:dyDescent="0.25">
      <c r="C17" s="13" t="s">
        <v>1458</v>
      </c>
      <c r="D17" s="7">
        <v>411</v>
      </c>
      <c r="E17" s="4" t="s">
        <v>18</v>
      </c>
      <c r="F17" s="4" t="s">
        <v>706</v>
      </c>
    </row>
    <row r="18" spans="3:6" x14ac:dyDescent="0.25">
      <c r="C18" s="13" t="s">
        <v>786</v>
      </c>
      <c r="D18" s="7">
        <v>412</v>
      </c>
      <c r="E18" s="4" t="s">
        <v>19</v>
      </c>
      <c r="F18" s="4" t="s">
        <v>707</v>
      </c>
    </row>
    <row r="19" spans="3:6" x14ac:dyDescent="0.25">
      <c r="C19" s="13" t="s">
        <v>787</v>
      </c>
      <c r="D19" s="7">
        <v>413</v>
      </c>
      <c r="E19" s="4" t="s">
        <v>20</v>
      </c>
      <c r="F19" s="4" t="s">
        <v>708</v>
      </c>
    </row>
    <row r="20" spans="3:6" x14ac:dyDescent="0.25">
      <c r="C20" s="13" t="s">
        <v>788</v>
      </c>
      <c r="D20" s="7">
        <v>414</v>
      </c>
      <c r="E20" s="4" t="s">
        <v>21</v>
      </c>
      <c r="F20" s="4" t="s">
        <v>709</v>
      </c>
    </row>
    <row r="21" spans="3:6" x14ac:dyDescent="0.25">
      <c r="C21" s="13" t="s">
        <v>789</v>
      </c>
      <c r="D21" s="7">
        <v>415</v>
      </c>
      <c r="E21" s="4" t="s">
        <v>22</v>
      </c>
      <c r="F21" s="4" t="s">
        <v>710</v>
      </c>
    </row>
    <row r="22" spans="3:6" x14ac:dyDescent="0.25">
      <c r="C22" s="13" t="s">
        <v>790</v>
      </c>
      <c r="D22" s="7">
        <v>416</v>
      </c>
      <c r="E22" s="8" t="s">
        <v>23</v>
      </c>
      <c r="F22" s="4" t="s">
        <v>711</v>
      </c>
    </row>
    <row r="23" spans="3:6" x14ac:dyDescent="0.25">
      <c r="C23" s="13" t="s">
        <v>791</v>
      </c>
      <c r="D23" s="7">
        <v>417</v>
      </c>
      <c r="E23" s="4" t="s">
        <v>24</v>
      </c>
      <c r="F23" s="4" t="s">
        <v>712</v>
      </c>
    </row>
    <row r="24" spans="3:6" x14ac:dyDescent="0.25">
      <c r="C24" s="13" t="s">
        <v>1459</v>
      </c>
      <c r="D24" s="7">
        <v>511</v>
      </c>
      <c r="E24" s="4" t="s">
        <v>25</v>
      </c>
      <c r="F24" s="4" t="s">
        <v>713</v>
      </c>
    </row>
    <row r="25" spans="3:6" x14ac:dyDescent="0.25">
      <c r="C25" s="13" t="s">
        <v>792</v>
      </c>
      <c r="D25" s="7">
        <v>512</v>
      </c>
      <c r="E25" s="4" t="s">
        <v>26</v>
      </c>
      <c r="F25" s="4" t="s">
        <v>714</v>
      </c>
    </row>
    <row r="26" spans="3:6" x14ac:dyDescent="0.25">
      <c r="C26" s="13" t="s">
        <v>793</v>
      </c>
      <c r="D26" s="7">
        <v>513</v>
      </c>
      <c r="E26" s="4" t="s">
        <v>27</v>
      </c>
      <c r="F26" s="4" t="s">
        <v>715</v>
      </c>
    </row>
    <row r="27" spans="3:6" x14ac:dyDescent="0.25">
      <c r="C27" s="13" t="s">
        <v>794</v>
      </c>
      <c r="D27" s="7">
        <v>514</v>
      </c>
      <c r="E27" s="4" t="s">
        <v>28</v>
      </c>
      <c r="F27" s="4" t="s">
        <v>716</v>
      </c>
    </row>
    <row r="28" spans="3:6" x14ac:dyDescent="0.25">
      <c r="C28" s="13" t="s">
        <v>795</v>
      </c>
      <c r="D28" s="7">
        <v>515</v>
      </c>
      <c r="E28" s="4" t="s">
        <v>29</v>
      </c>
      <c r="F28" s="4" t="s">
        <v>717</v>
      </c>
    </row>
    <row r="29" spans="3:6" x14ac:dyDescent="0.25">
      <c r="C29" s="13" t="s">
        <v>796</v>
      </c>
      <c r="D29" s="7">
        <v>516</v>
      </c>
      <c r="E29" s="4" t="s">
        <v>30</v>
      </c>
      <c r="F29" s="4" t="s">
        <v>718</v>
      </c>
    </row>
    <row r="30" spans="3:6" x14ac:dyDescent="0.25">
      <c r="C30" s="13" t="s">
        <v>800</v>
      </c>
      <c r="D30" s="7">
        <v>517</v>
      </c>
      <c r="E30" s="4" t="s">
        <v>31</v>
      </c>
      <c r="F30" s="4" t="s">
        <v>719</v>
      </c>
    </row>
    <row r="31" spans="3:6" x14ac:dyDescent="0.25">
      <c r="C31" s="13" t="s">
        <v>1460</v>
      </c>
      <c r="D31" s="7">
        <v>611</v>
      </c>
      <c r="E31" s="4" t="s">
        <v>32</v>
      </c>
      <c r="F31" s="4" t="s">
        <v>720</v>
      </c>
    </row>
    <row r="32" spans="3:6" x14ac:dyDescent="0.25">
      <c r="C32" s="13" t="s">
        <v>801</v>
      </c>
      <c r="D32" s="7">
        <v>612</v>
      </c>
      <c r="E32" s="4" t="s">
        <v>33</v>
      </c>
      <c r="F32" s="4" t="s">
        <v>721</v>
      </c>
    </row>
    <row r="33" spans="3:6" x14ac:dyDescent="0.25">
      <c r="C33" s="13" t="s">
        <v>797</v>
      </c>
      <c r="D33" s="7">
        <v>613</v>
      </c>
      <c r="E33" s="4" t="s">
        <v>34</v>
      </c>
      <c r="F33" s="4" t="s">
        <v>722</v>
      </c>
    </row>
    <row r="34" spans="3:6" x14ac:dyDescent="0.25">
      <c r="C34" s="13" t="s">
        <v>802</v>
      </c>
      <c r="D34" s="7">
        <v>614</v>
      </c>
      <c r="E34" s="4" t="s">
        <v>35</v>
      </c>
      <c r="F34" s="4" t="s">
        <v>723</v>
      </c>
    </row>
    <row r="35" spans="3:6" customFormat="1" x14ac:dyDescent="0.25">
      <c r="C35" s="13" t="s">
        <v>803</v>
      </c>
      <c r="D35" s="7">
        <v>615</v>
      </c>
      <c r="E35" s="4" t="s">
        <v>36</v>
      </c>
      <c r="F35" s="1" t="s">
        <v>724</v>
      </c>
    </row>
    <row r="36" spans="3:6" customFormat="1" x14ac:dyDescent="0.25">
      <c r="C36" s="13" t="s">
        <v>798</v>
      </c>
      <c r="D36" s="7">
        <v>616</v>
      </c>
      <c r="E36" s="1" t="s">
        <v>1657</v>
      </c>
      <c r="F36" s="1" t="s">
        <v>1656</v>
      </c>
    </row>
    <row r="37" spans="3:6" customFormat="1" x14ac:dyDescent="0.25">
      <c r="C37" s="13" t="s">
        <v>799</v>
      </c>
      <c r="D37" s="7">
        <v>617</v>
      </c>
      <c r="E37" s="4" t="s">
        <v>37</v>
      </c>
      <c r="F37" s="4" t="s">
        <v>7</v>
      </c>
    </row>
    <row r="38" spans="3:6" customFormat="1" x14ac:dyDescent="0.25">
      <c r="C38" s="13" t="s">
        <v>804</v>
      </c>
      <c r="D38" s="7">
        <v>618</v>
      </c>
      <c r="E38" s="4" t="s">
        <v>38</v>
      </c>
      <c r="F38" s="4" t="s">
        <v>8</v>
      </c>
    </row>
    <row r="39" spans="3:6" customFormat="1" x14ac:dyDescent="0.25">
      <c r="C39" s="16" t="s">
        <v>1352</v>
      </c>
      <c r="D39" s="7">
        <v>711</v>
      </c>
      <c r="E39" s="4" t="s">
        <v>39</v>
      </c>
      <c r="F39" s="4" t="s">
        <v>831</v>
      </c>
    </row>
    <row r="40" spans="3:6" customFormat="1" x14ac:dyDescent="0.25">
      <c r="C40" s="16" t="s">
        <v>805</v>
      </c>
      <c r="D40" s="7">
        <v>712</v>
      </c>
      <c r="E40" s="4" t="s">
        <v>40</v>
      </c>
      <c r="F40" s="4" t="s">
        <v>832</v>
      </c>
    </row>
    <row r="41" spans="3:6" customFormat="1" x14ac:dyDescent="0.25">
      <c r="C41" s="16" t="s">
        <v>806</v>
      </c>
      <c r="D41" s="7">
        <v>713</v>
      </c>
      <c r="E41" s="4" t="s">
        <v>41</v>
      </c>
      <c r="F41" s="4" t="s">
        <v>833</v>
      </c>
    </row>
    <row r="42" spans="3:6" customFormat="1" x14ac:dyDescent="0.25">
      <c r="C42" s="16" t="s">
        <v>1353</v>
      </c>
      <c r="D42" s="7">
        <v>714</v>
      </c>
      <c r="E42" s="4" t="s">
        <v>42</v>
      </c>
      <c r="F42" s="4" t="s">
        <v>834</v>
      </c>
    </row>
    <row r="43" spans="3:6" customFormat="1" x14ac:dyDescent="0.25">
      <c r="C43" s="13" t="s">
        <v>1461</v>
      </c>
      <c r="D43" s="7">
        <v>715</v>
      </c>
      <c r="E43" s="4" t="s">
        <v>43</v>
      </c>
      <c r="F43" s="4" t="s">
        <v>835</v>
      </c>
    </row>
    <row r="44" spans="3:6" customFormat="1" x14ac:dyDescent="0.25">
      <c r="C44" s="13" t="s">
        <v>1406</v>
      </c>
      <c r="D44" s="7">
        <v>811</v>
      </c>
      <c r="E44" s="4" t="s">
        <v>44</v>
      </c>
      <c r="F44" s="4" t="s">
        <v>836</v>
      </c>
    </row>
    <row r="45" spans="3:6" customFormat="1" x14ac:dyDescent="0.25">
      <c r="C45" s="13" t="s">
        <v>807</v>
      </c>
      <c r="D45" s="7">
        <v>812</v>
      </c>
      <c r="E45" s="4" t="s">
        <v>45</v>
      </c>
      <c r="F45" s="4" t="s">
        <v>837</v>
      </c>
    </row>
    <row r="46" spans="3:6" customFormat="1" x14ac:dyDescent="0.25">
      <c r="C46" s="13" t="s">
        <v>808</v>
      </c>
      <c r="D46" s="7">
        <v>813</v>
      </c>
      <c r="E46" s="4" t="s">
        <v>46</v>
      </c>
      <c r="F46" s="4" t="s">
        <v>725</v>
      </c>
    </row>
    <row r="47" spans="3:6" customFormat="1" x14ac:dyDescent="0.25">
      <c r="C47" s="13" t="s">
        <v>809</v>
      </c>
      <c r="D47" s="7">
        <v>814</v>
      </c>
      <c r="E47" s="4" t="s">
        <v>47</v>
      </c>
      <c r="F47" s="4" t="s">
        <v>726</v>
      </c>
    </row>
    <row r="48" spans="3:6" customFormat="1" x14ac:dyDescent="0.25">
      <c r="C48" s="13" t="s">
        <v>1431</v>
      </c>
      <c r="D48" s="7">
        <v>911</v>
      </c>
      <c r="E48" s="4" t="s">
        <v>48</v>
      </c>
      <c r="F48" s="4" t="s">
        <v>727</v>
      </c>
    </row>
    <row r="49" spans="3:6" customFormat="1" x14ac:dyDescent="0.25">
      <c r="C49" s="15" t="s">
        <v>810</v>
      </c>
      <c r="D49" s="7">
        <v>912</v>
      </c>
      <c r="E49" s="4" t="s">
        <v>49</v>
      </c>
      <c r="F49" s="4" t="s">
        <v>728</v>
      </c>
    </row>
    <row r="50" spans="3:6" customFormat="1" x14ac:dyDescent="0.25">
      <c r="C50" s="18" t="s">
        <v>1462</v>
      </c>
      <c r="D50" s="7">
        <v>913</v>
      </c>
      <c r="E50" s="4" t="s">
        <v>50</v>
      </c>
      <c r="F50" s="4" t="s">
        <v>838</v>
      </c>
    </row>
    <row r="51" spans="3:6" customFormat="1" x14ac:dyDescent="0.25">
      <c r="C51" s="15" t="s">
        <v>1432</v>
      </c>
      <c r="D51" s="7">
        <v>914</v>
      </c>
      <c r="E51" s="4" t="s">
        <v>51</v>
      </c>
      <c r="F51" s="4" t="s">
        <v>839</v>
      </c>
    </row>
    <row r="52" spans="3:6" customFormat="1" x14ac:dyDescent="0.25">
      <c r="C52" s="17"/>
      <c r="E52" s="4" t="s">
        <v>52</v>
      </c>
      <c r="F52" s="4" t="s">
        <v>840</v>
      </c>
    </row>
    <row r="53" spans="3:6" customFormat="1" x14ac:dyDescent="0.25">
      <c r="C53" s="17"/>
      <c r="E53" s="4" t="s">
        <v>53</v>
      </c>
      <c r="F53" s="4" t="s">
        <v>841</v>
      </c>
    </row>
    <row r="54" spans="3:6" customFormat="1" x14ac:dyDescent="0.25">
      <c r="C54" s="17"/>
      <c r="E54" s="4" t="s">
        <v>54</v>
      </c>
      <c r="F54" s="4" t="s">
        <v>842</v>
      </c>
    </row>
    <row r="55" spans="3:6" customFormat="1" x14ac:dyDescent="0.25">
      <c r="C55" s="17"/>
      <c r="E55" s="4" t="s">
        <v>55</v>
      </c>
      <c r="F55" s="4" t="s">
        <v>843</v>
      </c>
    </row>
    <row r="56" spans="3:6" customFormat="1" x14ac:dyDescent="0.25">
      <c r="C56" s="17"/>
      <c r="E56" s="4" t="s">
        <v>56</v>
      </c>
      <c r="F56" s="4" t="s">
        <v>844</v>
      </c>
    </row>
    <row r="57" spans="3:6" customFormat="1" x14ac:dyDescent="0.25">
      <c r="C57" s="17"/>
      <c r="E57" s="4" t="s">
        <v>57</v>
      </c>
      <c r="F57" s="4" t="s">
        <v>845</v>
      </c>
    </row>
    <row r="58" spans="3:6" customFormat="1" x14ac:dyDescent="0.25">
      <c r="C58" s="17"/>
      <c r="E58" s="4" t="s">
        <v>58</v>
      </c>
      <c r="F58" s="4" t="s">
        <v>846</v>
      </c>
    </row>
    <row r="59" spans="3:6" customFormat="1" x14ac:dyDescent="0.25">
      <c r="C59" s="17"/>
      <c r="E59" s="4" t="s">
        <v>59</v>
      </c>
      <c r="F59" s="4" t="s">
        <v>729</v>
      </c>
    </row>
    <row r="60" spans="3:6" customFormat="1" x14ac:dyDescent="0.25">
      <c r="C60" s="17"/>
      <c r="E60" s="4" t="s">
        <v>60</v>
      </c>
      <c r="F60" s="4" t="s">
        <v>730</v>
      </c>
    </row>
    <row r="61" spans="3:6" customFormat="1" x14ac:dyDescent="0.25">
      <c r="C61" s="17"/>
      <c r="E61" s="4" t="s">
        <v>61</v>
      </c>
      <c r="F61" s="4" t="s">
        <v>732</v>
      </c>
    </row>
    <row r="62" spans="3:6" customFormat="1" x14ac:dyDescent="0.25">
      <c r="C62" s="17"/>
      <c r="E62" s="4" t="s">
        <v>62</v>
      </c>
      <c r="F62" s="4" t="s">
        <v>731</v>
      </c>
    </row>
    <row r="63" spans="3:6" customFormat="1" x14ac:dyDescent="0.25">
      <c r="C63" s="17"/>
      <c r="E63" s="4" t="s">
        <v>63</v>
      </c>
      <c r="F63" s="4" t="s">
        <v>733</v>
      </c>
    </row>
    <row r="64" spans="3:6" customFormat="1" x14ac:dyDescent="0.25">
      <c r="C64" s="17"/>
      <c r="E64" s="4" t="s">
        <v>64</v>
      </c>
      <c r="F64" s="4" t="s">
        <v>734</v>
      </c>
    </row>
    <row r="65" spans="5:6" customFormat="1" x14ac:dyDescent="0.25">
      <c r="E65" s="4" t="s">
        <v>65</v>
      </c>
      <c r="F65" s="4" t="s">
        <v>847</v>
      </c>
    </row>
    <row r="66" spans="5:6" customFormat="1" x14ac:dyDescent="0.25">
      <c r="E66" s="4" t="s">
        <v>66</v>
      </c>
      <c r="F66" s="4" t="s">
        <v>848</v>
      </c>
    </row>
    <row r="67" spans="5:6" customFormat="1" x14ac:dyDescent="0.25">
      <c r="E67" s="4" t="s">
        <v>67</v>
      </c>
      <c r="F67" s="4" t="s">
        <v>849</v>
      </c>
    </row>
    <row r="68" spans="5:6" customFormat="1" x14ac:dyDescent="0.25">
      <c r="E68" s="4" t="s">
        <v>68</v>
      </c>
      <c r="F68" s="4" t="s">
        <v>850</v>
      </c>
    </row>
    <row r="69" spans="5:6" customFormat="1" x14ac:dyDescent="0.25">
      <c r="E69" s="4" t="s">
        <v>69</v>
      </c>
      <c r="F69" s="4" t="s">
        <v>851</v>
      </c>
    </row>
    <row r="70" spans="5:6" customFormat="1" x14ac:dyDescent="0.25">
      <c r="E70" s="4" t="s">
        <v>70</v>
      </c>
      <c r="F70" s="4" t="s">
        <v>852</v>
      </c>
    </row>
    <row r="71" spans="5:6" customFormat="1" x14ac:dyDescent="0.25">
      <c r="E71" s="4" t="s">
        <v>71</v>
      </c>
      <c r="F71" s="4" t="s">
        <v>853</v>
      </c>
    </row>
    <row r="72" spans="5:6" customFormat="1" x14ac:dyDescent="0.25">
      <c r="E72" s="4" t="s">
        <v>72</v>
      </c>
      <c r="F72" s="4" t="s">
        <v>854</v>
      </c>
    </row>
    <row r="73" spans="5:6" customFormat="1" x14ac:dyDescent="0.25">
      <c r="E73" s="4" t="s">
        <v>73</v>
      </c>
      <c r="F73" s="4" t="s">
        <v>855</v>
      </c>
    </row>
    <row r="74" spans="5:6" customFormat="1" x14ac:dyDescent="0.25">
      <c r="E74" s="4" t="s">
        <v>74</v>
      </c>
      <c r="F74" s="4" t="s">
        <v>735</v>
      </c>
    </row>
    <row r="75" spans="5:6" customFormat="1" x14ac:dyDescent="0.25">
      <c r="E75" s="4" t="s">
        <v>75</v>
      </c>
      <c r="F75" s="4" t="s">
        <v>736</v>
      </c>
    </row>
    <row r="76" spans="5:6" customFormat="1" x14ac:dyDescent="0.25">
      <c r="E76" s="4" t="s">
        <v>76</v>
      </c>
      <c r="F76" s="4" t="s">
        <v>737</v>
      </c>
    </row>
    <row r="77" spans="5:6" customFormat="1" x14ac:dyDescent="0.25">
      <c r="E77" s="4" t="s">
        <v>77</v>
      </c>
      <c r="F77" s="4" t="s">
        <v>856</v>
      </c>
    </row>
    <row r="78" spans="5:6" customFormat="1" x14ac:dyDescent="0.25">
      <c r="E78" s="4" t="s">
        <v>78</v>
      </c>
      <c r="F78" s="4" t="s">
        <v>857</v>
      </c>
    </row>
    <row r="79" spans="5:6" customFormat="1" x14ac:dyDescent="0.25">
      <c r="E79" s="4" t="s">
        <v>79</v>
      </c>
      <c r="F79" s="4" t="s">
        <v>858</v>
      </c>
    </row>
    <row r="80" spans="5:6" customFormat="1" x14ac:dyDescent="0.25">
      <c r="E80" s="4" t="s">
        <v>80</v>
      </c>
      <c r="F80" s="4" t="s">
        <v>859</v>
      </c>
    </row>
    <row r="81" spans="5:6" customFormat="1" x14ac:dyDescent="0.25">
      <c r="E81" s="4" t="s">
        <v>81</v>
      </c>
      <c r="F81" s="4" t="s">
        <v>860</v>
      </c>
    </row>
    <row r="82" spans="5:6" customFormat="1" x14ac:dyDescent="0.25">
      <c r="E82" s="4" t="s">
        <v>82</v>
      </c>
      <c r="F82" s="4" t="s">
        <v>861</v>
      </c>
    </row>
    <row r="83" spans="5:6" customFormat="1" x14ac:dyDescent="0.25">
      <c r="E83" s="4" t="s">
        <v>83</v>
      </c>
      <c r="F83" s="4" t="s">
        <v>862</v>
      </c>
    </row>
    <row r="84" spans="5:6" customFormat="1" x14ac:dyDescent="0.25">
      <c r="E84" s="4" t="s">
        <v>84</v>
      </c>
      <c r="F84" s="4" t="s">
        <v>863</v>
      </c>
    </row>
    <row r="85" spans="5:6" customFormat="1" x14ac:dyDescent="0.25">
      <c r="E85" s="4" t="s">
        <v>85</v>
      </c>
      <c r="F85" s="4" t="s">
        <v>864</v>
      </c>
    </row>
    <row r="86" spans="5:6" customFormat="1" x14ac:dyDescent="0.25">
      <c r="E86" s="4" t="s">
        <v>86</v>
      </c>
      <c r="F86" s="4" t="s">
        <v>738</v>
      </c>
    </row>
    <row r="87" spans="5:6" customFormat="1" x14ac:dyDescent="0.25">
      <c r="E87" s="4" t="s">
        <v>87</v>
      </c>
      <c r="F87" s="4" t="s">
        <v>739</v>
      </c>
    </row>
    <row r="88" spans="5:6" customFormat="1" x14ac:dyDescent="0.25">
      <c r="E88" s="4" t="s">
        <v>88</v>
      </c>
      <c r="F88" s="4" t="s">
        <v>740</v>
      </c>
    </row>
    <row r="89" spans="5:6" customFormat="1" x14ac:dyDescent="0.25">
      <c r="E89" s="4" t="s">
        <v>89</v>
      </c>
      <c r="F89" s="4" t="s">
        <v>741</v>
      </c>
    </row>
    <row r="90" spans="5:6" customFormat="1" x14ac:dyDescent="0.25">
      <c r="E90" s="4" t="s">
        <v>90</v>
      </c>
      <c r="F90" s="4" t="s">
        <v>742</v>
      </c>
    </row>
    <row r="91" spans="5:6" customFormat="1" x14ac:dyDescent="0.25">
      <c r="E91" s="4" t="s">
        <v>91</v>
      </c>
      <c r="F91" s="4" t="s">
        <v>743</v>
      </c>
    </row>
    <row r="92" spans="5:6" customFormat="1" x14ac:dyDescent="0.25">
      <c r="E92" s="4" t="s">
        <v>92</v>
      </c>
      <c r="F92" s="4" t="s">
        <v>744</v>
      </c>
    </row>
    <row r="93" spans="5:6" customFormat="1" x14ac:dyDescent="0.25">
      <c r="E93" s="4" t="s">
        <v>93</v>
      </c>
      <c r="F93" s="4" t="s">
        <v>745</v>
      </c>
    </row>
    <row r="94" spans="5:6" customFormat="1" x14ac:dyDescent="0.25">
      <c r="E94" s="4" t="s">
        <v>94</v>
      </c>
      <c r="F94" s="4" t="s">
        <v>746</v>
      </c>
    </row>
    <row r="95" spans="5:6" customFormat="1" x14ac:dyDescent="0.25">
      <c r="E95" s="4" t="s">
        <v>95</v>
      </c>
      <c r="F95" s="4" t="s">
        <v>747</v>
      </c>
    </row>
    <row r="96" spans="5:6" customFormat="1" x14ac:dyDescent="0.25">
      <c r="E96" s="4" t="s">
        <v>96</v>
      </c>
      <c r="F96" s="4" t="s">
        <v>748</v>
      </c>
    </row>
    <row r="97" spans="5:6" customFormat="1" x14ac:dyDescent="0.25">
      <c r="E97" s="4" t="s">
        <v>97</v>
      </c>
      <c r="F97" s="4" t="s">
        <v>749</v>
      </c>
    </row>
    <row r="98" spans="5:6" customFormat="1" x14ac:dyDescent="0.25">
      <c r="E98" s="4" t="s">
        <v>98</v>
      </c>
      <c r="F98" s="4" t="s">
        <v>750</v>
      </c>
    </row>
    <row r="99" spans="5:6" customFormat="1" x14ac:dyDescent="0.25">
      <c r="E99" s="4" t="s">
        <v>99</v>
      </c>
      <c r="F99" s="4" t="s">
        <v>751</v>
      </c>
    </row>
    <row r="100" spans="5:6" customFormat="1" x14ac:dyDescent="0.25">
      <c r="E100" s="4" t="s">
        <v>100</v>
      </c>
      <c r="F100" s="4" t="s">
        <v>752</v>
      </c>
    </row>
    <row r="101" spans="5:6" customFormat="1" x14ac:dyDescent="0.25">
      <c r="E101" s="4" t="s">
        <v>101</v>
      </c>
      <c r="F101" s="4" t="s">
        <v>753</v>
      </c>
    </row>
    <row r="102" spans="5:6" customFormat="1" x14ac:dyDescent="0.25">
      <c r="E102" s="4" t="s">
        <v>102</v>
      </c>
      <c r="F102" s="4" t="s">
        <v>754</v>
      </c>
    </row>
    <row r="103" spans="5:6" customFormat="1" x14ac:dyDescent="0.25">
      <c r="E103" s="4" t="s">
        <v>103</v>
      </c>
      <c r="F103" s="4" t="s">
        <v>755</v>
      </c>
    </row>
    <row r="104" spans="5:6" customFormat="1" x14ac:dyDescent="0.25">
      <c r="E104" s="4" t="s">
        <v>104</v>
      </c>
      <c r="F104" s="4" t="s">
        <v>756</v>
      </c>
    </row>
    <row r="105" spans="5:6" customFormat="1" x14ac:dyDescent="0.25">
      <c r="E105" s="4" t="s">
        <v>105</v>
      </c>
      <c r="F105" s="4" t="s">
        <v>757</v>
      </c>
    </row>
    <row r="106" spans="5:6" customFormat="1" x14ac:dyDescent="0.25">
      <c r="E106" s="4" t="s">
        <v>106</v>
      </c>
      <c r="F106" s="4" t="s">
        <v>758</v>
      </c>
    </row>
    <row r="107" spans="5:6" customFormat="1" x14ac:dyDescent="0.25">
      <c r="E107" s="4" t="s">
        <v>107</v>
      </c>
      <c r="F107" s="4" t="s">
        <v>759</v>
      </c>
    </row>
    <row r="108" spans="5:6" customFormat="1" x14ac:dyDescent="0.25">
      <c r="E108" s="4" t="s">
        <v>108</v>
      </c>
      <c r="F108" s="4" t="s">
        <v>760</v>
      </c>
    </row>
    <row r="109" spans="5:6" customFormat="1" x14ac:dyDescent="0.25">
      <c r="E109" s="4" t="s">
        <v>109</v>
      </c>
      <c r="F109" s="4" t="s">
        <v>761</v>
      </c>
    </row>
    <row r="110" spans="5:6" customFormat="1" x14ac:dyDescent="0.25">
      <c r="E110" s="4" t="s">
        <v>110</v>
      </c>
      <c r="F110" s="4" t="s">
        <v>865</v>
      </c>
    </row>
    <row r="111" spans="5:6" customFormat="1" x14ac:dyDescent="0.25">
      <c r="E111" s="4" t="s">
        <v>111</v>
      </c>
      <c r="F111" s="4" t="s">
        <v>866</v>
      </c>
    </row>
    <row r="112" spans="5:6" customFormat="1" x14ac:dyDescent="0.25">
      <c r="E112" s="4" t="s">
        <v>112</v>
      </c>
      <c r="F112" s="4" t="s">
        <v>867</v>
      </c>
    </row>
    <row r="113" spans="5:6" customFormat="1" x14ac:dyDescent="0.25">
      <c r="E113" s="4" t="s">
        <v>113</v>
      </c>
      <c r="F113" s="4" t="s">
        <v>868</v>
      </c>
    </row>
    <row r="114" spans="5:6" customFormat="1" x14ac:dyDescent="0.25">
      <c r="E114" s="4" t="s">
        <v>114</v>
      </c>
      <c r="F114" s="4" t="s">
        <v>869</v>
      </c>
    </row>
    <row r="115" spans="5:6" customFormat="1" x14ac:dyDescent="0.25">
      <c r="E115" s="4" t="s">
        <v>115</v>
      </c>
      <c r="F115" s="4" t="s">
        <v>870</v>
      </c>
    </row>
    <row r="116" spans="5:6" customFormat="1" x14ac:dyDescent="0.25">
      <c r="E116" s="4" t="s">
        <v>116</v>
      </c>
      <c r="F116" s="4" t="s">
        <v>871</v>
      </c>
    </row>
    <row r="117" spans="5:6" customFormat="1" x14ac:dyDescent="0.25">
      <c r="E117" s="4" t="s">
        <v>117</v>
      </c>
      <c r="F117" s="4" t="s">
        <v>872</v>
      </c>
    </row>
    <row r="118" spans="5:6" customFormat="1" x14ac:dyDescent="0.25">
      <c r="E118" s="4" t="s">
        <v>118</v>
      </c>
      <c r="F118" s="4" t="s">
        <v>873</v>
      </c>
    </row>
    <row r="119" spans="5:6" customFormat="1" x14ac:dyDescent="0.25">
      <c r="E119" s="4" t="s">
        <v>119</v>
      </c>
      <c r="F119" s="4" t="s">
        <v>762</v>
      </c>
    </row>
    <row r="120" spans="5:6" customFormat="1" x14ac:dyDescent="0.25">
      <c r="E120" s="4" t="s">
        <v>120</v>
      </c>
      <c r="F120" s="4" t="s">
        <v>763</v>
      </c>
    </row>
    <row r="121" spans="5:6" customFormat="1" x14ac:dyDescent="0.25">
      <c r="E121" s="4" t="s">
        <v>121</v>
      </c>
      <c r="F121" s="4" t="s">
        <v>764</v>
      </c>
    </row>
    <row r="122" spans="5:6" customFormat="1" x14ac:dyDescent="0.25">
      <c r="E122" s="4" t="s">
        <v>122</v>
      </c>
      <c r="F122" s="4" t="s">
        <v>765</v>
      </c>
    </row>
    <row r="123" spans="5:6" customFormat="1" x14ac:dyDescent="0.25">
      <c r="E123" s="4" t="s">
        <v>123</v>
      </c>
      <c r="F123" s="4" t="s">
        <v>766</v>
      </c>
    </row>
    <row r="124" spans="5:6" customFormat="1" x14ac:dyDescent="0.25">
      <c r="E124" s="4" t="s">
        <v>124</v>
      </c>
      <c r="F124" s="4" t="s">
        <v>767</v>
      </c>
    </row>
    <row r="125" spans="5:6" customFormat="1" x14ac:dyDescent="0.25">
      <c r="E125" s="4" t="s">
        <v>125</v>
      </c>
      <c r="F125" s="4" t="s">
        <v>768</v>
      </c>
    </row>
    <row r="126" spans="5:6" customFormat="1" x14ac:dyDescent="0.25">
      <c r="E126" s="4" t="s">
        <v>126</v>
      </c>
      <c r="F126" s="4" t="s">
        <v>874</v>
      </c>
    </row>
    <row r="127" spans="5:6" customFormat="1" x14ac:dyDescent="0.25">
      <c r="E127" s="4" t="s">
        <v>127</v>
      </c>
      <c r="F127" s="4" t="s">
        <v>875</v>
      </c>
    </row>
    <row r="128" spans="5:6" customFormat="1" x14ac:dyDescent="0.25">
      <c r="E128" s="4" t="s">
        <v>128</v>
      </c>
      <c r="F128" s="4" t="s">
        <v>876</v>
      </c>
    </row>
    <row r="129" spans="5:6" customFormat="1" x14ac:dyDescent="0.25">
      <c r="E129" s="4" t="s">
        <v>129</v>
      </c>
      <c r="F129" s="4" t="s">
        <v>877</v>
      </c>
    </row>
    <row r="130" spans="5:6" customFormat="1" x14ac:dyDescent="0.25">
      <c r="E130" s="4" t="s">
        <v>130</v>
      </c>
      <c r="F130" s="4" t="s">
        <v>878</v>
      </c>
    </row>
    <row r="131" spans="5:6" customFormat="1" x14ac:dyDescent="0.25">
      <c r="E131" s="4" t="s">
        <v>131</v>
      </c>
      <c r="F131" s="4" t="s">
        <v>879</v>
      </c>
    </row>
    <row r="132" spans="5:6" customFormat="1" x14ac:dyDescent="0.25">
      <c r="E132" s="4" t="s">
        <v>132</v>
      </c>
      <c r="F132" s="4" t="s">
        <v>880</v>
      </c>
    </row>
    <row r="133" spans="5:6" customFormat="1" x14ac:dyDescent="0.25">
      <c r="E133" s="4" t="s">
        <v>133</v>
      </c>
      <c r="F133" s="4" t="s">
        <v>881</v>
      </c>
    </row>
    <row r="134" spans="5:6" customFormat="1" x14ac:dyDescent="0.25">
      <c r="E134" s="4" t="s">
        <v>134</v>
      </c>
      <c r="F134" s="4" t="s">
        <v>882</v>
      </c>
    </row>
    <row r="135" spans="5:6" customFormat="1" x14ac:dyDescent="0.25">
      <c r="E135" s="4" t="s">
        <v>135</v>
      </c>
      <c r="F135" s="4" t="s">
        <v>769</v>
      </c>
    </row>
    <row r="136" spans="5:6" customFormat="1" x14ac:dyDescent="0.25">
      <c r="E136" s="4" t="s">
        <v>136</v>
      </c>
      <c r="F136" s="4" t="s">
        <v>770</v>
      </c>
    </row>
    <row r="137" spans="5:6" customFormat="1" x14ac:dyDescent="0.25">
      <c r="E137" s="4" t="s">
        <v>137</v>
      </c>
      <c r="F137" s="4" t="s">
        <v>771</v>
      </c>
    </row>
    <row r="138" spans="5:6" customFormat="1" x14ac:dyDescent="0.25">
      <c r="E138" s="8" t="s">
        <v>138</v>
      </c>
      <c r="F138" s="4" t="s">
        <v>883</v>
      </c>
    </row>
    <row r="139" spans="5:6" customFormat="1" x14ac:dyDescent="0.25">
      <c r="E139" s="8" t="s">
        <v>139</v>
      </c>
      <c r="F139" s="4" t="s">
        <v>884</v>
      </c>
    </row>
    <row r="140" spans="5:6" customFormat="1" x14ac:dyDescent="0.25">
      <c r="E140" s="8" t="s">
        <v>140</v>
      </c>
      <c r="F140" s="4" t="s">
        <v>885</v>
      </c>
    </row>
    <row r="141" spans="5:6" customFormat="1" x14ac:dyDescent="0.25">
      <c r="E141" s="8" t="s">
        <v>141</v>
      </c>
      <c r="F141" s="4" t="s">
        <v>886</v>
      </c>
    </row>
    <row r="142" spans="5:6" customFormat="1" x14ac:dyDescent="0.25">
      <c r="E142" s="8" t="s">
        <v>142</v>
      </c>
      <c r="F142" s="4" t="s">
        <v>887</v>
      </c>
    </row>
    <row r="143" spans="5:6" customFormat="1" x14ac:dyDescent="0.25">
      <c r="E143" s="8" t="s">
        <v>143</v>
      </c>
      <c r="F143" s="4" t="s">
        <v>888</v>
      </c>
    </row>
    <row r="144" spans="5:6" customFormat="1" x14ac:dyDescent="0.25">
      <c r="E144" s="8" t="s">
        <v>144</v>
      </c>
      <c r="F144" s="4" t="s">
        <v>889</v>
      </c>
    </row>
    <row r="145" spans="5:6" customFormat="1" x14ac:dyDescent="0.25">
      <c r="E145" s="8" t="s">
        <v>145</v>
      </c>
      <c r="F145" s="4" t="s">
        <v>890</v>
      </c>
    </row>
    <row r="146" spans="5:6" customFormat="1" x14ac:dyDescent="0.25">
      <c r="E146" s="8" t="s">
        <v>146</v>
      </c>
      <c r="F146" s="4" t="s">
        <v>891</v>
      </c>
    </row>
    <row r="147" spans="5:6" customFormat="1" x14ac:dyDescent="0.25">
      <c r="E147" s="4" t="s">
        <v>147</v>
      </c>
      <c r="F147" s="4" t="s">
        <v>892</v>
      </c>
    </row>
    <row r="148" spans="5:6" customFormat="1" x14ac:dyDescent="0.25">
      <c r="E148" s="4" t="s">
        <v>148</v>
      </c>
      <c r="F148" s="4" t="s">
        <v>893</v>
      </c>
    </row>
    <row r="149" spans="5:6" customFormat="1" x14ac:dyDescent="0.25">
      <c r="E149" s="4" t="s">
        <v>149</v>
      </c>
      <c r="F149" s="4" t="s">
        <v>894</v>
      </c>
    </row>
    <row r="150" spans="5:6" customFormat="1" x14ac:dyDescent="0.25">
      <c r="E150" s="4" t="s">
        <v>150</v>
      </c>
      <c r="F150" s="4" t="s">
        <v>895</v>
      </c>
    </row>
    <row r="151" spans="5:6" customFormat="1" x14ac:dyDescent="0.25">
      <c r="E151" s="4" t="s">
        <v>151</v>
      </c>
      <c r="F151" s="4" t="s">
        <v>896</v>
      </c>
    </row>
    <row r="152" spans="5:6" customFormat="1" x14ac:dyDescent="0.25">
      <c r="E152" s="4" t="s">
        <v>152</v>
      </c>
      <c r="F152" s="4" t="s">
        <v>897</v>
      </c>
    </row>
    <row r="153" spans="5:6" customFormat="1" x14ac:dyDescent="0.25">
      <c r="E153" s="4" t="s">
        <v>153</v>
      </c>
      <c r="F153" s="4" t="s">
        <v>898</v>
      </c>
    </row>
    <row r="154" spans="5:6" customFormat="1" x14ac:dyDescent="0.25">
      <c r="E154" s="4" t="s">
        <v>154</v>
      </c>
      <c r="F154" s="4" t="s">
        <v>899</v>
      </c>
    </row>
    <row r="155" spans="5:6" customFormat="1" x14ac:dyDescent="0.25">
      <c r="E155" s="4" t="s">
        <v>155</v>
      </c>
      <c r="F155" s="4" t="s">
        <v>900</v>
      </c>
    </row>
    <row r="156" spans="5:6" customFormat="1" x14ac:dyDescent="0.25">
      <c r="E156" s="8" t="s">
        <v>156</v>
      </c>
      <c r="F156" s="4" t="s">
        <v>901</v>
      </c>
    </row>
    <row r="157" spans="5:6" customFormat="1" x14ac:dyDescent="0.25">
      <c r="E157" s="8" t="s">
        <v>157</v>
      </c>
      <c r="F157" s="4" t="s">
        <v>902</v>
      </c>
    </row>
    <row r="158" spans="5:6" customFormat="1" x14ac:dyDescent="0.25">
      <c r="E158" s="11" t="s">
        <v>158</v>
      </c>
      <c r="F158" s="4" t="s">
        <v>903</v>
      </c>
    </row>
    <row r="159" spans="5:6" customFormat="1" x14ac:dyDescent="0.25">
      <c r="E159" s="11" t="s">
        <v>159</v>
      </c>
      <c r="F159" s="4" t="s">
        <v>904</v>
      </c>
    </row>
    <row r="160" spans="5:6" customFormat="1" x14ac:dyDescent="0.25">
      <c r="E160" s="11" t="s">
        <v>160</v>
      </c>
      <c r="F160" s="4" t="s">
        <v>905</v>
      </c>
    </row>
    <row r="161" spans="5:6" customFormat="1" x14ac:dyDescent="0.25">
      <c r="E161" s="11" t="s">
        <v>161</v>
      </c>
      <c r="F161" s="4" t="s">
        <v>906</v>
      </c>
    </row>
    <row r="162" spans="5:6" customFormat="1" x14ac:dyDescent="0.25">
      <c r="E162" s="8" t="s">
        <v>162</v>
      </c>
      <c r="F162" s="4" t="s">
        <v>907</v>
      </c>
    </row>
    <row r="163" spans="5:6" customFormat="1" x14ac:dyDescent="0.25">
      <c r="E163" s="8" t="s">
        <v>163</v>
      </c>
      <c r="F163" s="4" t="s">
        <v>908</v>
      </c>
    </row>
    <row r="164" spans="5:6" customFormat="1" x14ac:dyDescent="0.25">
      <c r="E164" s="8" t="s">
        <v>164</v>
      </c>
      <c r="F164" s="4" t="s">
        <v>909</v>
      </c>
    </row>
    <row r="165" spans="5:6" customFormat="1" x14ac:dyDescent="0.25">
      <c r="E165" s="8" t="s">
        <v>165</v>
      </c>
      <c r="F165" s="4" t="s">
        <v>812</v>
      </c>
    </row>
    <row r="166" spans="5:6" customFormat="1" x14ac:dyDescent="0.25">
      <c r="E166" s="8" t="s">
        <v>166</v>
      </c>
      <c r="F166" s="4" t="s">
        <v>813</v>
      </c>
    </row>
    <row r="167" spans="5:6" customFormat="1" x14ac:dyDescent="0.25">
      <c r="E167" s="8" t="s">
        <v>167</v>
      </c>
      <c r="F167" s="4" t="s">
        <v>814</v>
      </c>
    </row>
    <row r="168" spans="5:6" customFormat="1" x14ac:dyDescent="0.25">
      <c r="E168" s="8" t="s">
        <v>168</v>
      </c>
      <c r="F168" s="4" t="s">
        <v>815</v>
      </c>
    </row>
    <row r="169" spans="5:6" customFormat="1" x14ac:dyDescent="0.25">
      <c r="E169" s="8" t="s">
        <v>169</v>
      </c>
      <c r="F169" s="4" t="s">
        <v>816</v>
      </c>
    </row>
    <row r="170" spans="5:6" customFormat="1" x14ac:dyDescent="0.25">
      <c r="E170" s="8" t="s">
        <v>170</v>
      </c>
      <c r="F170" s="4" t="s">
        <v>817</v>
      </c>
    </row>
    <row r="171" spans="5:6" customFormat="1" x14ac:dyDescent="0.25">
      <c r="E171" s="8" t="s">
        <v>171</v>
      </c>
      <c r="F171" s="4" t="s">
        <v>818</v>
      </c>
    </row>
    <row r="172" spans="5:6" customFormat="1" x14ac:dyDescent="0.25">
      <c r="E172" s="8" t="s">
        <v>172</v>
      </c>
      <c r="F172" s="4" t="s">
        <v>819</v>
      </c>
    </row>
    <row r="173" spans="5:6" customFormat="1" x14ac:dyDescent="0.25">
      <c r="E173" s="8" t="s">
        <v>173</v>
      </c>
      <c r="F173" s="4" t="s">
        <v>820</v>
      </c>
    </row>
    <row r="174" spans="5:6" customFormat="1" x14ac:dyDescent="0.25">
      <c r="E174" s="8" t="s">
        <v>174</v>
      </c>
      <c r="F174" s="4" t="s">
        <v>821</v>
      </c>
    </row>
    <row r="175" spans="5:6" customFormat="1" x14ac:dyDescent="0.25">
      <c r="E175" s="8" t="s">
        <v>175</v>
      </c>
      <c r="F175" s="4" t="s">
        <v>822</v>
      </c>
    </row>
    <row r="176" spans="5:6" customFormat="1" x14ac:dyDescent="0.25">
      <c r="E176" s="8" t="s">
        <v>176</v>
      </c>
      <c r="F176" s="4" t="s">
        <v>823</v>
      </c>
    </row>
    <row r="177" spans="5:6" customFormat="1" x14ac:dyDescent="0.25">
      <c r="E177" s="8" t="s">
        <v>177</v>
      </c>
      <c r="F177" s="4" t="s">
        <v>824</v>
      </c>
    </row>
    <row r="178" spans="5:6" customFormat="1" x14ac:dyDescent="0.25">
      <c r="E178" s="8" t="s">
        <v>178</v>
      </c>
      <c r="F178" s="4" t="s">
        <v>825</v>
      </c>
    </row>
    <row r="179" spans="5:6" customFormat="1" x14ac:dyDescent="0.25">
      <c r="E179" s="4" t="s">
        <v>179</v>
      </c>
      <c r="F179" s="10" t="s">
        <v>910</v>
      </c>
    </row>
    <row r="180" spans="5:6" customFormat="1" x14ac:dyDescent="0.25">
      <c r="E180" s="4" t="s">
        <v>157</v>
      </c>
      <c r="F180" s="10" t="s">
        <v>911</v>
      </c>
    </row>
    <row r="181" spans="5:6" customFormat="1" x14ac:dyDescent="0.25">
      <c r="E181" s="4" t="s">
        <v>180</v>
      </c>
      <c r="F181" s="10" t="s">
        <v>912</v>
      </c>
    </row>
    <row r="182" spans="5:6" customFormat="1" x14ac:dyDescent="0.25">
      <c r="E182" s="4" t="s">
        <v>181</v>
      </c>
      <c r="F182" s="10" t="s">
        <v>913</v>
      </c>
    </row>
    <row r="183" spans="5:6" customFormat="1" x14ac:dyDescent="0.25">
      <c r="E183" s="4" t="s">
        <v>182</v>
      </c>
      <c r="F183" s="10" t="s">
        <v>914</v>
      </c>
    </row>
    <row r="184" spans="5:6" customFormat="1" x14ac:dyDescent="0.25">
      <c r="E184" s="4" t="s">
        <v>183</v>
      </c>
      <c r="F184" s="10" t="s">
        <v>915</v>
      </c>
    </row>
    <row r="185" spans="5:6" customFormat="1" x14ac:dyDescent="0.25">
      <c r="E185" s="4" t="s">
        <v>184</v>
      </c>
      <c r="F185" s="10" t="s">
        <v>916</v>
      </c>
    </row>
    <row r="186" spans="5:6" customFormat="1" x14ac:dyDescent="0.25">
      <c r="E186" s="4" t="s">
        <v>185</v>
      </c>
      <c r="F186" s="10" t="s">
        <v>917</v>
      </c>
    </row>
    <row r="187" spans="5:6" customFormat="1" x14ac:dyDescent="0.25">
      <c r="E187" s="4" t="s">
        <v>186</v>
      </c>
      <c r="F187" s="10" t="s">
        <v>918</v>
      </c>
    </row>
    <row r="188" spans="5:6" customFormat="1" x14ac:dyDescent="0.25">
      <c r="E188" s="4" t="s">
        <v>187</v>
      </c>
      <c r="F188" s="4" t="s">
        <v>919</v>
      </c>
    </row>
    <row r="189" spans="5:6" customFormat="1" x14ac:dyDescent="0.25">
      <c r="E189" s="4" t="s">
        <v>188</v>
      </c>
      <c r="F189" s="4" t="s">
        <v>920</v>
      </c>
    </row>
    <row r="190" spans="5:6" customFormat="1" x14ac:dyDescent="0.25">
      <c r="E190" s="4" t="s">
        <v>189</v>
      </c>
      <c r="F190" s="4" t="s">
        <v>921</v>
      </c>
    </row>
    <row r="191" spans="5:6" customFormat="1" x14ac:dyDescent="0.25">
      <c r="E191" s="4" t="s">
        <v>190</v>
      </c>
      <c r="F191" s="4" t="s">
        <v>922</v>
      </c>
    </row>
    <row r="192" spans="5:6" customFormat="1" x14ac:dyDescent="0.25">
      <c r="E192" s="4" t="s">
        <v>191</v>
      </c>
      <c r="F192" s="4" t="s">
        <v>923</v>
      </c>
    </row>
    <row r="193" spans="5:6" customFormat="1" x14ac:dyDescent="0.25">
      <c r="E193" s="4" t="s">
        <v>192</v>
      </c>
      <c r="F193" s="4" t="s">
        <v>924</v>
      </c>
    </row>
    <row r="194" spans="5:6" customFormat="1" x14ac:dyDescent="0.25">
      <c r="E194" s="4" t="s">
        <v>193</v>
      </c>
      <c r="F194" s="4" t="s">
        <v>925</v>
      </c>
    </row>
    <row r="195" spans="5:6" customFormat="1" x14ac:dyDescent="0.25">
      <c r="E195" s="4" t="s">
        <v>194</v>
      </c>
      <c r="F195" s="4" t="s">
        <v>926</v>
      </c>
    </row>
    <row r="196" spans="5:6" customFormat="1" x14ac:dyDescent="0.25">
      <c r="E196" s="4" t="s">
        <v>161</v>
      </c>
      <c r="F196" s="4" t="s">
        <v>927</v>
      </c>
    </row>
    <row r="197" spans="5:6" customFormat="1" x14ac:dyDescent="0.25">
      <c r="E197" s="4" t="s">
        <v>195</v>
      </c>
      <c r="F197" s="4" t="s">
        <v>928</v>
      </c>
    </row>
    <row r="198" spans="5:6" customFormat="1" x14ac:dyDescent="0.25">
      <c r="E198" s="4" t="s">
        <v>196</v>
      </c>
      <c r="F198" s="4" t="s">
        <v>929</v>
      </c>
    </row>
    <row r="199" spans="5:6" customFormat="1" x14ac:dyDescent="0.25">
      <c r="E199" s="4" t="s">
        <v>197</v>
      </c>
      <c r="F199" s="4" t="s">
        <v>930</v>
      </c>
    </row>
    <row r="200" spans="5:6" customFormat="1" x14ac:dyDescent="0.25">
      <c r="E200" s="4" t="s">
        <v>198</v>
      </c>
      <c r="F200" s="4" t="s">
        <v>931</v>
      </c>
    </row>
    <row r="201" spans="5:6" customFormat="1" x14ac:dyDescent="0.25">
      <c r="E201" s="4" t="s">
        <v>70</v>
      </c>
      <c r="F201" s="4" t="s">
        <v>932</v>
      </c>
    </row>
    <row r="202" spans="5:6" customFormat="1" x14ac:dyDescent="0.25">
      <c r="E202" s="4" t="s">
        <v>199</v>
      </c>
      <c r="F202" s="4" t="s">
        <v>933</v>
      </c>
    </row>
    <row r="203" spans="5:6" customFormat="1" x14ac:dyDescent="0.25">
      <c r="E203" s="4" t="s">
        <v>200</v>
      </c>
      <c r="F203" s="4" t="s">
        <v>934</v>
      </c>
    </row>
    <row r="204" spans="5:6" customFormat="1" x14ac:dyDescent="0.25">
      <c r="E204" s="4" t="s">
        <v>201</v>
      </c>
      <c r="F204" s="4" t="s">
        <v>935</v>
      </c>
    </row>
    <row r="205" spans="5:6" customFormat="1" x14ac:dyDescent="0.25">
      <c r="E205" s="4" t="s">
        <v>202</v>
      </c>
      <c r="F205" s="4" t="s">
        <v>936</v>
      </c>
    </row>
    <row r="206" spans="5:6" customFormat="1" x14ac:dyDescent="0.25">
      <c r="E206" s="4" t="s">
        <v>203</v>
      </c>
      <c r="F206" s="4" t="s">
        <v>937</v>
      </c>
    </row>
    <row r="207" spans="5:6" customFormat="1" x14ac:dyDescent="0.25">
      <c r="E207" s="4" t="s">
        <v>204</v>
      </c>
      <c r="F207" s="4" t="s">
        <v>938</v>
      </c>
    </row>
    <row r="208" spans="5:6" customFormat="1" x14ac:dyDescent="0.25">
      <c r="E208" s="4" t="s">
        <v>205</v>
      </c>
      <c r="F208" s="4" t="s">
        <v>939</v>
      </c>
    </row>
    <row r="209" spans="5:6" customFormat="1" x14ac:dyDescent="0.25">
      <c r="E209" s="4" t="s">
        <v>206</v>
      </c>
      <c r="F209" s="4" t="s">
        <v>940</v>
      </c>
    </row>
    <row r="210" spans="5:6" customFormat="1" x14ac:dyDescent="0.25">
      <c r="E210" s="4" t="s">
        <v>207</v>
      </c>
      <c r="F210" s="4" t="s">
        <v>941</v>
      </c>
    </row>
    <row r="211" spans="5:6" customFormat="1" x14ac:dyDescent="0.25">
      <c r="E211" s="4" t="s">
        <v>208</v>
      </c>
      <c r="F211" s="4" t="s">
        <v>942</v>
      </c>
    </row>
    <row r="212" spans="5:6" customFormat="1" x14ac:dyDescent="0.25">
      <c r="E212" s="4" t="s">
        <v>209</v>
      </c>
      <c r="F212" s="4" t="s">
        <v>943</v>
      </c>
    </row>
    <row r="213" spans="5:6" customFormat="1" x14ac:dyDescent="0.25">
      <c r="E213" s="4" t="s">
        <v>210</v>
      </c>
      <c r="F213" s="4" t="s">
        <v>944</v>
      </c>
    </row>
    <row r="214" spans="5:6" customFormat="1" x14ac:dyDescent="0.25">
      <c r="E214" s="4" t="s">
        <v>211</v>
      </c>
      <c r="F214" s="4" t="s">
        <v>945</v>
      </c>
    </row>
    <row r="215" spans="5:6" customFormat="1" x14ac:dyDescent="0.25">
      <c r="E215" s="4" t="s">
        <v>212</v>
      </c>
      <c r="F215" s="4" t="s">
        <v>946</v>
      </c>
    </row>
    <row r="216" spans="5:6" customFormat="1" x14ac:dyDescent="0.25">
      <c r="E216" s="4" t="s">
        <v>213</v>
      </c>
      <c r="F216" s="4" t="s">
        <v>947</v>
      </c>
    </row>
    <row r="217" spans="5:6" customFormat="1" x14ac:dyDescent="0.25">
      <c r="E217" s="4" t="s">
        <v>214</v>
      </c>
      <c r="F217" s="4" t="s">
        <v>948</v>
      </c>
    </row>
    <row r="218" spans="5:6" customFormat="1" x14ac:dyDescent="0.25">
      <c r="E218" s="4" t="s">
        <v>215</v>
      </c>
      <c r="F218" s="4" t="s">
        <v>949</v>
      </c>
    </row>
    <row r="219" spans="5:6" customFormat="1" x14ac:dyDescent="0.25">
      <c r="E219" s="4" t="s">
        <v>216</v>
      </c>
      <c r="F219" s="4" t="s">
        <v>950</v>
      </c>
    </row>
    <row r="220" spans="5:6" customFormat="1" x14ac:dyDescent="0.25">
      <c r="E220" s="4" t="s">
        <v>217</v>
      </c>
      <c r="F220" s="4" t="s">
        <v>951</v>
      </c>
    </row>
    <row r="221" spans="5:6" customFormat="1" x14ac:dyDescent="0.25">
      <c r="E221" s="4" t="s">
        <v>218</v>
      </c>
      <c r="F221" s="4" t="s">
        <v>952</v>
      </c>
    </row>
    <row r="222" spans="5:6" customFormat="1" x14ac:dyDescent="0.25">
      <c r="E222" s="4" t="s">
        <v>219</v>
      </c>
      <c r="F222" s="4" t="s">
        <v>953</v>
      </c>
    </row>
    <row r="223" spans="5:6" customFormat="1" x14ac:dyDescent="0.25">
      <c r="E223" s="4" t="s">
        <v>220</v>
      </c>
      <c r="F223" s="4" t="s">
        <v>954</v>
      </c>
    </row>
    <row r="224" spans="5:6" customFormat="1" x14ac:dyDescent="0.25">
      <c r="E224" s="4" t="s">
        <v>221</v>
      </c>
      <c r="F224" s="4" t="s">
        <v>955</v>
      </c>
    </row>
    <row r="225" spans="5:6" customFormat="1" x14ac:dyDescent="0.25">
      <c r="E225" s="4" t="s">
        <v>222</v>
      </c>
      <c r="F225" s="4" t="s">
        <v>956</v>
      </c>
    </row>
    <row r="226" spans="5:6" customFormat="1" x14ac:dyDescent="0.25">
      <c r="E226" s="4" t="s">
        <v>223</v>
      </c>
      <c r="F226" s="4" t="s">
        <v>957</v>
      </c>
    </row>
    <row r="227" spans="5:6" customFormat="1" x14ac:dyDescent="0.25">
      <c r="E227" s="4" t="s">
        <v>224</v>
      </c>
      <c r="F227" s="4" t="s">
        <v>958</v>
      </c>
    </row>
    <row r="228" spans="5:6" customFormat="1" x14ac:dyDescent="0.25">
      <c r="E228" s="4" t="s">
        <v>225</v>
      </c>
      <c r="F228" s="4" t="s">
        <v>959</v>
      </c>
    </row>
    <row r="229" spans="5:6" customFormat="1" x14ac:dyDescent="0.25">
      <c r="E229" s="4" t="s">
        <v>226</v>
      </c>
      <c r="F229" s="4" t="s">
        <v>960</v>
      </c>
    </row>
    <row r="230" spans="5:6" customFormat="1" x14ac:dyDescent="0.25">
      <c r="E230" s="4" t="s">
        <v>227</v>
      </c>
      <c r="F230" s="4" t="s">
        <v>961</v>
      </c>
    </row>
    <row r="231" spans="5:6" customFormat="1" x14ac:dyDescent="0.25">
      <c r="E231" s="4" t="s">
        <v>228</v>
      </c>
      <c r="F231" s="4" t="s">
        <v>962</v>
      </c>
    </row>
    <row r="232" spans="5:6" customFormat="1" x14ac:dyDescent="0.25">
      <c r="E232" s="4" t="s">
        <v>229</v>
      </c>
      <c r="F232" s="4" t="s">
        <v>963</v>
      </c>
    </row>
    <row r="233" spans="5:6" customFormat="1" x14ac:dyDescent="0.25">
      <c r="E233" s="4" t="s">
        <v>230</v>
      </c>
      <c r="F233" s="4" t="s">
        <v>964</v>
      </c>
    </row>
    <row r="234" spans="5:6" customFormat="1" x14ac:dyDescent="0.25">
      <c r="E234" s="4" t="s">
        <v>231</v>
      </c>
      <c r="F234" s="4" t="s">
        <v>965</v>
      </c>
    </row>
    <row r="235" spans="5:6" customFormat="1" x14ac:dyDescent="0.25">
      <c r="E235" s="8" t="s">
        <v>232</v>
      </c>
      <c r="F235" s="4" t="s">
        <v>966</v>
      </c>
    </row>
    <row r="236" spans="5:6" customFormat="1" x14ac:dyDescent="0.25">
      <c r="E236" s="8" t="s">
        <v>233</v>
      </c>
      <c r="F236" s="4" t="s">
        <v>967</v>
      </c>
    </row>
    <row r="237" spans="5:6" customFormat="1" x14ac:dyDescent="0.25">
      <c r="E237" s="8" t="s">
        <v>234</v>
      </c>
      <c r="F237" s="4" t="s">
        <v>968</v>
      </c>
    </row>
    <row r="238" spans="5:6" customFormat="1" x14ac:dyDescent="0.25">
      <c r="E238" s="8" t="s">
        <v>235</v>
      </c>
      <c r="F238" s="4" t="s">
        <v>969</v>
      </c>
    </row>
    <row r="239" spans="5:6" customFormat="1" x14ac:dyDescent="0.25">
      <c r="E239" s="8" t="s">
        <v>236</v>
      </c>
      <c r="F239" s="4" t="s">
        <v>970</v>
      </c>
    </row>
    <row r="240" spans="5:6" customFormat="1" x14ac:dyDescent="0.25">
      <c r="E240" s="8" t="s">
        <v>237</v>
      </c>
      <c r="F240" s="4" t="s">
        <v>971</v>
      </c>
    </row>
    <row r="241" spans="5:6" customFormat="1" x14ac:dyDescent="0.25">
      <c r="E241" s="8" t="s">
        <v>238</v>
      </c>
      <c r="F241" s="4" t="s">
        <v>972</v>
      </c>
    </row>
    <row r="242" spans="5:6" customFormat="1" x14ac:dyDescent="0.25">
      <c r="E242" s="8" t="s">
        <v>239</v>
      </c>
      <c r="F242" s="4" t="s">
        <v>973</v>
      </c>
    </row>
    <row r="243" spans="5:6" customFormat="1" x14ac:dyDescent="0.25">
      <c r="E243" s="8" t="s">
        <v>240</v>
      </c>
      <c r="F243" s="4" t="s">
        <v>974</v>
      </c>
    </row>
    <row r="244" spans="5:6" customFormat="1" x14ac:dyDescent="0.25">
      <c r="E244" s="8" t="s">
        <v>241</v>
      </c>
      <c r="F244" s="4" t="s">
        <v>975</v>
      </c>
    </row>
    <row r="245" spans="5:6" customFormat="1" x14ac:dyDescent="0.25">
      <c r="E245" s="8" t="s">
        <v>242</v>
      </c>
      <c r="F245" s="4" t="s">
        <v>976</v>
      </c>
    </row>
    <row r="246" spans="5:6" customFormat="1" x14ac:dyDescent="0.25">
      <c r="E246" s="4" t="s">
        <v>157</v>
      </c>
      <c r="F246" s="4" t="s">
        <v>977</v>
      </c>
    </row>
    <row r="247" spans="5:6" customFormat="1" x14ac:dyDescent="0.25">
      <c r="E247" s="4" t="s">
        <v>243</v>
      </c>
      <c r="F247" s="4" t="s">
        <v>978</v>
      </c>
    </row>
    <row r="248" spans="5:6" customFormat="1" x14ac:dyDescent="0.25">
      <c r="E248" s="4" t="s">
        <v>244</v>
      </c>
      <c r="F248" s="4" t="s">
        <v>979</v>
      </c>
    </row>
    <row r="249" spans="5:6" customFormat="1" x14ac:dyDescent="0.25">
      <c r="E249" s="4" t="s">
        <v>245</v>
      </c>
      <c r="F249" s="4" t="s">
        <v>980</v>
      </c>
    </row>
    <row r="250" spans="5:6" customFormat="1" x14ac:dyDescent="0.25">
      <c r="E250" s="4" t="s">
        <v>246</v>
      </c>
      <c r="F250" s="4" t="s">
        <v>981</v>
      </c>
    </row>
    <row r="251" spans="5:6" customFormat="1" x14ac:dyDescent="0.25">
      <c r="E251" s="4" t="s">
        <v>247</v>
      </c>
      <c r="F251" s="4" t="s">
        <v>982</v>
      </c>
    </row>
    <row r="252" spans="5:6" customFormat="1" x14ac:dyDescent="0.25">
      <c r="E252" s="4" t="s">
        <v>248</v>
      </c>
      <c r="F252" s="4" t="s">
        <v>983</v>
      </c>
    </row>
    <row r="253" spans="5:6" customFormat="1" x14ac:dyDescent="0.25">
      <c r="E253" s="4" t="s">
        <v>249</v>
      </c>
      <c r="F253" s="4" t="s">
        <v>984</v>
      </c>
    </row>
    <row r="254" spans="5:6" customFormat="1" x14ac:dyDescent="0.25">
      <c r="E254" s="4" t="s">
        <v>250</v>
      </c>
      <c r="F254" s="4" t="s">
        <v>985</v>
      </c>
    </row>
    <row r="255" spans="5:6" customFormat="1" x14ac:dyDescent="0.25">
      <c r="E255" s="4" t="s">
        <v>251</v>
      </c>
      <c r="F255" s="4" t="s">
        <v>986</v>
      </c>
    </row>
    <row r="256" spans="5:6" customFormat="1" x14ac:dyDescent="0.25">
      <c r="E256" s="4" t="s">
        <v>252</v>
      </c>
      <c r="F256" s="4" t="s">
        <v>987</v>
      </c>
    </row>
    <row r="257" spans="5:6" customFormat="1" x14ac:dyDescent="0.25">
      <c r="E257" s="4" t="s">
        <v>253</v>
      </c>
      <c r="F257" s="4" t="s">
        <v>988</v>
      </c>
    </row>
    <row r="258" spans="5:6" customFormat="1" x14ac:dyDescent="0.25">
      <c r="E258" s="4" t="s">
        <v>254</v>
      </c>
      <c r="F258" s="4" t="s">
        <v>989</v>
      </c>
    </row>
    <row r="259" spans="5:6" customFormat="1" x14ac:dyDescent="0.25">
      <c r="E259" s="4" t="s">
        <v>255</v>
      </c>
      <c r="F259" s="4" t="s">
        <v>990</v>
      </c>
    </row>
    <row r="260" spans="5:6" customFormat="1" x14ac:dyDescent="0.25">
      <c r="E260" s="4" t="s">
        <v>256</v>
      </c>
      <c r="F260" s="4" t="s">
        <v>991</v>
      </c>
    </row>
    <row r="261" spans="5:6" customFormat="1" x14ac:dyDescent="0.25">
      <c r="E261" s="4" t="s">
        <v>257</v>
      </c>
      <c r="F261" s="4" t="s">
        <v>992</v>
      </c>
    </row>
    <row r="262" spans="5:6" customFormat="1" x14ac:dyDescent="0.25">
      <c r="E262" s="4" t="s">
        <v>258</v>
      </c>
      <c r="F262" s="4" t="s">
        <v>993</v>
      </c>
    </row>
    <row r="263" spans="5:6" customFormat="1" x14ac:dyDescent="0.25">
      <c r="E263" s="4" t="s">
        <v>259</v>
      </c>
      <c r="F263" s="4" t="s">
        <v>994</v>
      </c>
    </row>
    <row r="264" spans="5:6" customFormat="1" x14ac:dyDescent="0.25">
      <c r="E264" s="4" t="s">
        <v>260</v>
      </c>
      <c r="F264" s="4" t="s">
        <v>995</v>
      </c>
    </row>
    <row r="265" spans="5:6" customFormat="1" x14ac:dyDescent="0.25">
      <c r="E265" s="4" t="s">
        <v>261</v>
      </c>
      <c r="F265" s="4" t="s">
        <v>996</v>
      </c>
    </row>
    <row r="266" spans="5:6" customFormat="1" x14ac:dyDescent="0.25">
      <c r="E266" s="4" t="s">
        <v>262</v>
      </c>
      <c r="F266" s="4" t="s">
        <v>997</v>
      </c>
    </row>
    <row r="267" spans="5:6" customFormat="1" x14ac:dyDescent="0.25">
      <c r="E267" s="4" t="s">
        <v>263</v>
      </c>
      <c r="F267" s="4" t="s">
        <v>998</v>
      </c>
    </row>
    <row r="268" spans="5:6" customFormat="1" x14ac:dyDescent="0.25">
      <c r="E268" s="4" t="s">
        <v>264</v>
      </c>
      <c r="F268" s="4" t="s">
        <v>999</v>
      </c>
    </row>
    <row r="269" spans="5:6" customFormat="1" x14ac:dyDescent="0.25">
      <c r="E269" s="4" t="s">
        <v>265</v>
      </c>
      <c r="F269" s="4" t="s">
        <v>1000</v>
      </c>
    </row>
    <row r="270" spans="5:6" customFormat="1" x14ac:dyDescent="0.25">
      <c r="E270" s="4" t="s">
        <v>266</v>
      </c>
      <c r="F270" s="4" t="s">
        <v>1001</v>
      </c>
    </row>
    <row r="271" spans="5:6" customFormat="1" x14ac:dyDescent="0.25">
      <c r="E271" s="4" t="s">
        <v>267</v>
      </c>
      <c r="F271" s="4" t="s">
        <v>1002</v>
      </c>
    </row>
    <row r="272" spans="5:6" customFormat="1" x14ac:dyDescent="0.25">
      <c r="E272" s="4" t="s">
        <v>268</v>
      </c>
      <c r="F272" s="4" t="s">
        <v>1003</v>
      </c>
    </row>
    <row r="273" spans="5:6" customFormat="1" x14ac:dyDescent="0.25">
      <c r="E273" s="4" t="s">
        <v>269</v>
      </c>
      <c r="F273" s="4" t="s">
        <v>1004</v>
      </c>
    </row>
    <row r="274" spans="5:6" customFormat="1" x14ac:dyDescent="0.25">
      <c r="E274" s="4" t="s">
        <v>270</v>
      </c>
      <c r="F274" s="4" t="s">
        <v>1005</v>
      </c>
    </row>
    <row r="275" spans="5:6" customFormat="1" x14ac:dyDescent="0.25">
      <c r="E275" s="4" t="s">
        <v>271</v>
      </c>
      <c r="F275" s="4" t="s">
        <v>1006</v>
      </c>
    </row>
    <row r="276" spans="5:6" customFormat="1" x14ac:dyDescent="0.25">
      <c r="E276" s="4" t="s">
        <v>272</v>
      </c>
      <c r="F276" s="4" t="s">
        <v>1007</v>
      </c>
    </row>
    <row r="277" spans="5:6" customFormat="1" x14ac:dyDescent="0.25">
      <c r="E277" s="4" t="s">
        <v>273</v>
      </c>
      <c r="F277" s="4" t="s">
        <v>1008</v>
      </c>
    </row>
    <row r="278" spans="5:6" customFormat="1" x14ac:dyDescent="0.25">
      <c r="E278" s="4" t="s">
        <v>274</v>
      </c>
      <c r="F278" s="4" t="s">
        <v>1009</v>
      </c>
    </row>
    <row r="279" spans="5:6" customFormat="1" x14ac:dyDescent="0.25">
      <c r="E279" s="4" t="s">
        <v>275</v>
      </c>
      <c r="F279" s="4" t="s">
        <v>1010</v>
      </c>
    </row>
    <row r="280" spans="5:6" customFormat="1" x14ac:dyDescent="0.25">
      <c r="E280" s="4" t="s">
        <v>276</v>
      </c>
      <c r="F280" s="4" t="s">
        <v>1011</v>
      </c>
    </row>
    <row r="281" spans="5:6" customFormat="1" x14ac:dyDescent="0.25">
      <c r="E281" s="4" t="s">
        <v>277</v>
      </c>
      <c r="F281" s="4" t="s">
        <v>1012</v>
      </c>
    </row>
    <row r="282" spans="5:6" customFormat="1" x14ac:dyDescent="0.25">
      <c r="E282" s="4" t="s">
        <v>278</v>
      </c>
      <c r="F282" s="4" t="s">
        <v>1013</v>
      </c>
    </row>
    <row r="283" spans="5:6" customFormat="1" x14ac:dyDescent="0.25">
      <c r="E283" s="4" t="s">
        <v>279</v>
      </c>
      <c r="F283" s="4" t="s">
        <v>1014</v>
      </c>
    </row>
    <row r="284" spans="5:6" customFormat="1" x14ac:dyDescent="0.25">
      <c r="E284" s="4" t="s">
        <v>280</v>
      </c>
      <c r="F284" s="4" t="s">
        <v>1015</v>
      </c>
    </row>
    <row r="285" spans="5:6" customFormat="1" x14ac:dyDescent="0.25">
      <c r="E285" s="4" t="s">
        <v>281</v>
      </c>
      <c r="F285" s="4" t="s">
        <v>1016</v>
      </c>
    </row>
    <row r="286" spans="5:6" customFormat="1" x14ac:dyDescent="0.25">
      <c r="E286" s="4" t="s">
        <v>282</v>
      </c>
      <c r="F286" s="4" t="s">
        <v>1017</v>
      </c>
    </row>
    <row r="287" spans="5:6" customFormat="1" x14ac:dyDescent="0.25">
      <c r="E287" s="4" t="s">
        <v>283</v>
      </c>
      <c r="F287" s="4" t="s">
        <v>1018</v>
      </c>
    </row>
    <row r="288" spans="5:6" customFormat="1" x14ac:dyDescent="0.25">
      <c r="E288" s="4" t="s">
        <v>284</v>
      </c>
      <c r="F288" s="4" t="s">
        <v>1019</v>
      </c>
    </row>
    <row r="289" spans="5:6" customFormat="1" x14ac:dyDescent="0.25">
      <c r="E289" s="4" t="s">
        <v>285</v>
      </c>
      <c r="F289" s="4" t="s">
        <v>1020</v>
      </c>
    </row>
    <row r="290" spans="5:6" customFormat="1" x14ac:dyDescent="0.25">
      <c r="E290" s="4" t="s">
        <v>286</v>
      </c>
      <c r="F290" s="4" t="s">
        <v>1021</v>
      </c>
    </row>
    <row r="291" spans="5:6" customFormat="1" x14ac:dyDescent="0.25">
      <c r="E291" s="4" t="s">
        <v>287</v>
      </c>
      <c r="F291" s="4" t="s">
        <v>1022</v>
      </c>
    </row>
    <row r="292" spans="5:6" customFormat="1" x14ac:dyDescent="0.25">
      <c r="E292" s="4" t="s">
        <v>288</v>
      </c>
      <c r="F292" s="4" t="s">
        <v>1023</v>
      </c>
    </row>
    <row r="293" spans="5:6" customFormat="1" x14ac:dyDescent="0.25">
      <c r="E293" s="4" t="s">
        <v>289</v>
      </c>
      <c r="F293" s="4" t="s">
        <v>1024</v>
      </c>
    </row>
    <row r="294" spans="5:6" customFormat="1" x14ac:dyDescent="0.25">
      <c r="E294" s="4" t="s">
        <v>290</v>
      </c>
      <c r="F294" s="4" t="s">
        <v>1025</v>
      </c>
    </row>
    <row r="295" spans="5:6" customFormat="1" x14ac:dyDescent="0.25">
      <c r="E295" s="4" t="s">
        <v>291</v>
      </c>
      <c r="F295" s="4" t="s">
        <v>1026</v>
      </c>
    </row>
    <row r="296" spans="5:6" customFormat="1" x14ac:dyDescent="0.25">
      <c r="E296" s="4" t="s">
        <v>292</v>
      </c>
      <c r="F296" s="4" t="s">
        <v>1027</v>
      </c>
    </row>
    <row r="297" spans="5:6" customFormat="1" x14ac:dyDescent="0.25">
      <c r="E297" s="4" t="s">
        <v>293</v>
      </c>
      <c r="F297" s="4" t="s">
        <v>1028</v>
      </c>
    </row>
    <row r="298" spans="5:6" customFormat="1" x14ac:dyDescent="0.25">
      <c r="E298" s="4" t="s">
        <v>294</v>
      </c>
      <c r="F298" s="4" t="s">
        <v>1029</v>
      </c>
    </row>
    <row r="299" spans="5:6" customFormat="1" x14ac:dyDescent="0.25">
      <c r="E299" s="4" t="s">
        <v>295</v>
      </c>
      <c r="F299" s="4" t="s">
        <v>1030</v>
      </c>
    </row>
    <row r="300" spans="5:6" customFormat="1" x14ac:dyDescent="0.25">
      <c r="E300" s="4" t="s">
        <v>296</v>
      </c>
      <c r="F300" s="4" t="s">
        <v>1031</v>
      </c>
    </row>
    <row r="301" spans="5:6" customFormat="1" x14ac:dyDescent="0.25">
      <c r="E301" s="4" t="s">
        <v>297</v>
      </c>
      <c r="F301" s="4" t="s">
        <v>1032</v>
      </c>
    </row>
    <row r="302" spans="5:6" customFormat="1" x14ac:dyDescent="0.25">
      <c r="E302" s="4" t="s">
        <v>298</v>
      </c>
      <c r="F302" s="4" t="s">
        <v>1033</v>
      </c>
    </row>
    <row r="303" spans="5:6" customFormat="1" x14ac:dyDescent="0.25">
      <c r="E303" s="4" t="s">
        <v>299</v>
      </c>
      <c r="F303" s="4" t="s">
        <v>1034</v>
      </c>
    </row>
    <row r="304" spans="5:6" customFormat="1" x14ac:dyDescent="0.25">
      <c r="E304" s="4" t="s">
        <v>300</v>
      </c>
      <c r="F304" s="4" t="s">
        <v>1035</v>
      </c>
    </row>
    <row r="305" spans="5:6" customFormat="1" x14ac:dyDescent="0.25">
      <c r="E305" s="4" t="s">
        <v>301</v>
      </c>
      <c r="F305" s="4" t="s">
        <v>1036</v>
      </c>
    </row>
    <row r="306" spans="5:6" customFormat="1" x14ac:dyDescent="0.25">
      <c r="E306" s="4" t="s">
        <v>302</v>
      </c>
      <c r="F306" s="4" t="s">
        <v>1037</v>
      </c>
    </row>
    <row r="307" spans="5:6" customFormat="1" x14ac:dyDescent="0.25">
      <c r="E307" s="4" t="s">
        <v>303</v>
      </c>
      <c r="F307" s="4" t="s">
        <v>1038</v>
      </c>
    </row>
    <row r="308" spans="5:6" customFormat="1" x14ac:dyDescent="0.25">
      <c r="E308" s="4" t="s">
        <v>304</v>
      </c>
      <c r="F308" s="4" t="s">
        <v>1039</v>
      </c>
    </row>
    <row r="309" spans="5:6" customFormat="1" x14ac:dyDescent="0.25">
      <c r="E309" s="4" t="s">
        <v>305</v>
      </c>
      <c r="F309" s="4" t="s">
        <v>1040</v>
      </c>
    </row>
    <row r="310" spans="5:6" customFormat="1" x14ac:dyDescent="0.25">
      <c r="E310" s="4" t="s">
        <v>306</v>
      </c>
      <c r="F310" s="4" t="s">
        <v>1041</v>
      </c>
    </row>
    <row r="311" spans="5:6" customFormat="1" x14ac:dyDescent="0.25">
      <c r="E311" s="4" t="s">
        <v>307</v>
      </c>
      <c r="F311" s="4" t="s">
        <v>1042</v>
      </c>
    </row>
    <row r="312" spans="5:6" customFormat="1" x14ac:dyDescent="0.25">
      <c r="E312" s="4" t="s">
        <v>308</v>
      </c>
      <c r="F312" s="4" t="s">
        <v>1043</v>
      </c>
    </row>
    <row r="313" spans="5:6" customFormat="1" x14ac:dyDescent="0.25">
      <c r="E313" s="4" t="s">
        <v>309</v>
      </c>
      <c r="F313" s="4" t="s">
        <v>1044</v>
      </c>
    </row>
    <row r="314" spans="5:6" customFormat="1" x14ac:dyDescent="0.25">
      <c r="E314" s="4" t="s">
        <v>310</v>
      </c>
      <c r="F314" s="4" t="s">
        <v>1045</v>
      </c>
    </row>
    <row r="315" spans="5:6" customFormat="1" x14ac:dyDescent="0.25">
      <c r="E315" s="4" t="s">
        <v>311</v>
      </c>
      <c r="F315" s="4" t="s">
        <v>1046</v>
      </c>
    </row>
    <row r="316" spans="5:6" customFormat="1" x14ac:dyDescent="0.25">
      <c r="E316" s="4" t="s">
        <v>312</v>
      </c>
      <c r="F316" s="4" t="s">
        <v>1047</v>
      </c>
    </row>
    <row r="317" spans="5:6" customFormat="1" x14ac:dyDescent="0.25">
      <c r="E317" s="4" t="s">
        <v>313</v>
      </c>
      <c r="F317" s="4" t="s">
        <v>1048</v>
      </c>
    </row>
    <row r="318" spans="5:6" customFormat="1" x14ac:dyDescent="0.25">
      <c r="E318" s="4" t="s">
        <v>314</v>
      </c>
      <c r="F318" s="4" t="s">
        <v>1049</v>
      </c>
    </row>
    <row r="319" spans="5:6" customFormat="1" x14ac:dyDescent="0.25">
      <c r="E319" s="4" t="s">
        <v>315</v>
      </c>
      <c r="F319" s="4" t="s">
        <v>1050</v>
      </c>
    </row>
    <row r="320" spans="5:6" customFormat="1" x14ac:dyDescent="0.25">
      <c r="E320" s="4" t="s">
        <v>316</v>
      </c>
      <c r="F320" s="4" t="s">
        <v>1051</v>
      </c>
    </row>
    <row r="321" spans="5:6" customFormat="1" x14ac:dyDescent="0.25">
      <c r="E321" s="4" t="s">
        <v>317</v>
      </c>
      <c r="F321" s="4" t="s">
        <v>1052</v>
      </c>
    </row>
    <row r="322" spans="5:6" customFormat="1" x14ac:dyDescent="0.25">
      <c r="E322" s="4" t="s">
        <v>318</v>
      </c>
      <c r="F322" s="4" t="s">
        <v>1053</v>
      </c>
    </row>
    <row r="323" spans="5:6" customFormat="1" x14ac:dyDescent="0.25">
      <c r="E323" s="4" t="s">
        <v>319</v>
      </c>
      <c r="F323" s="4" t="s">
        <v>1054</v>
      </c>
    </row>
    <row r="324" spans="5:6" customFormat="1" x14ac:dyDescent="0.25">
      <c r="E324" s="4" t="s">
        <v>190</v>
      </c>
      <c r="F324" s="4" t="s">
        <v>1055</v>
      </c>
    </row>
    <row r="325" spans="5:6" customFormat="1" x14ac:dyDescent="0.25">
      <c r="E325" s="4" t="s">
        <v>320</v>
      </c>
      <c r="F325" s="4" t="s">
        <v>1056</v>
      </c>
    </row>
    <row r="326" spans="5:6" customFormat="1" x14ac:dyDescent="0.25">
      <c r="E326" s="4" t="s">
        <v>321</v>
      </c>
      <c r="F326" s="4" t="s">
        <v>1057</v>
      </c>
    </row>
    <row r="327" spans="5:6" customFormat="1" x14ac:dyDescent="0.25">
      <c r="E327" s="4" t="s">
        <v>322</v>
      </c>
      <c r="F327" s="4" t="s">
        <v>1058</v>
      </c>
    </row>
    <row r="328" spans="5:6" customFormat="1" x14ac:dyDescent="0.25">
      <c r="E328" s="4" t="s">
        <v>323</v>
      </c>
      <c r="F328" s="4" t="s">
        <v>1059</v>
      </c>
    </row>
    <row r="329" spans="5:6" customFormat="1" x14ac:dyDescent="0.25">
      <c r="E329" s="4" t="s">
        <v>324</v>
      </c>
      <c r="F329" s="4" t="s">
        <v>1060</v>
      </c>
    </row>
    <row r="330" spans="5:6" customFormat="1" x14ac:dyDescent="0.25">
      <c r="E330" s="4" t="s">
        <v>325</v>
      </c>
      <c r="F330" s="4" t="s">
        <v>1061</v>
      </c>
    </row>
    <row r="331" spans="5:6" customFormat="1" x14ac:dyDescent="0.25">
      <c r="E331" s="4" t="s">
        <v>326</v>
      </c>
      <c r="F331" s="4" t="s">
        <v>1062</v>
      </c>
    </row>
    <row r="332" spans="5:6" customFormat="1" x14ac:dyDescent="0.25">
      <c r="E332" s="4" t="s">
        <v>327</v>
      </c>
      <c r="F332" s="4" t="s">
        <v>1063</v>
      </c>
    </row>
    <row r="333" spans="5:6" customFormat="1" x14ac:dyDescent="0.25">
      <c r="E333" s="4" t="s">
        <v>328</v>
      </c>
      <c r="F333" s="4" t="s">
        <v>1064</v>
      </c>
    </row>
    <row r="334" spans="5:6" customFormat="1" x14ac:dyDescent="0.25">
      <c r="E334" s="4" t="s">
        <v>329</v>
      </c>
      <c r="F334" s="4" t="s">
        <v>1065</v>
      </c>
    </row>
    <row r="335" spans="5:6" customFormat="1" x14ac:dyDescent="0.25">
      <c r="E335" s="4" t="s">
        <v>330</v>
      </c>
      <c r="F335" s="4" t="s">
        <v>1066</v>
      </c>
    </row>
    <row r="336" spans="5:6" customFormat="1" x14ac:dyDescent="0.25">
      <c r="E336" s="4" t="s">
        <v>331</v>
      </c>
      <c r="F336" s="4" t="s">
        <v>1068</v>
      </c>
    </row>
    <row r="337" spans="5:6" customFormat="1" x14ac:dyDescent="0.25">
      <c r="E337" s="4" t="s">
        <v>332</v>
      </c>
      <c r="F337" s="4" t="s">
        <v>1067</v>
      </c>
    </row>
    <row r="338" spans="5:6" customFormat="1" x14ac:dyDescent="0.25">
      <c r="E338" s="4" t="s">
        <v>333</v>
      </c>
      <c r="F338" s="4" t="s">
        <v>1069</v>
      </c>
    </row>
    <row r="339" spans="5:6" customFormat="1" x14ac:dyDescent="0.25">
      <c r="E339" s="4" t="s">
        <v>334</v>
      </c>
      <c r="F339" s="4" t="s">
        <v>1070</v>
      </c>
    </row>
    <row r="340" spans="5:6" customFormat="1" x14ac:dyDescent="0.25">
      <c r="E340" s="4" t="s">
        <v>335</v>
      </c>
      <c r="F340" s="4" t="s">
        <v>1071</v>
      </c>
    </row>
    <row r="341" spans="5:6" customFormat="1" x14ac:dyDescent="0.25">
      <c r="E341" s="4" t="s">
        <v>336</v>
      </c>
      <c r="F341" s="4" t="s">
        <v>1072</v>
      </c>
    </row>
    <row r="342" spans="5:6" customFormat="1" x14ac:dyDescent="0.25">
      <c r="E342" s="4" t="s">
        <v>337</v>
      </c>
      <c r="F342" s="4" t="s">
        <v>1073</v>
      </c>
    </row>
    <row r="343" spans="5:6" customFormat="1" x14ac:dyDescent="0.25">
      <c r="E343" s="4" t="s">
        <v>258</v>
      </c>
      <c r="F343" s="4" t="s">
        <v>1074</v>
      </c>
    </row>
    <row r="344" spans="5:6" customFormat="1" x14ac:dyDescent="0.25">
      <c r="E344" s="4" t="s">
        <v>338</v>
      </c>
      <c r="F344" s="4" t="s">
        <v>1075</v>
      </c>
    </row>
    <row r="345" spans="5:6" customFormat="1" x14ac:dyDescent="0.25">
      <c r="E345" s="4" t="s">
        <v>339</v>
      </c>
      <c r="F345" s="4" t="s">
        <v>1076</v>
      </c>
    </row>
    <row r="346" spans="5:6" customFormat="1" x14ac:dyDescent="0.25">
      <c r="E346" s="4" t="s">
        <v>340</v>
      </c>
      <c r="F346" s="4" t="s">
        <v>1077</v>
      </c>
    </row>
    <row r="347" spans="5:6" customFormat="1" x14ac:dyDescent="0.25">
      <c r="E347" s="4" t="s">
        <v>341</v>
      </c>
      <c r="F347" s="4" t="s">
        <v>1078</v>
      </c>
    </row>
    <row r="348" spans="5:6" customFormat="1" x14ac:dyDescent="0.25">
      <c r="E348" s="4" t="s">
        <v>342</v>
      </c>
      <c r="F348" s="4" t="s">
        <v>1079</v>
      </c>
    </row>
    <row r="349" spans="5:6" customFormat="1" x14ac:dyDescent="0.25">
      <c r="E349" s="4" t="s">
        <v>343</v>
      </c>
      <c r="F349" s="4" t="s">
        <v>1080</v>
      </c>
    </row>
    <row r="350" spans="5:6" customFormat="1" x14ac:dyDescent="0.25">
      <c r="E350" s="4" t="s">
        <v>344</v>
      </c>
      <c r="F350" s="4" t="s">
        <v>1081</v>
      </c>
    </row>
    <row r="351" spans="5:6" customFormat="1" x14ac:dyDescent="0.25">
      <c r="E351" s="4" t="s">
        <v>345</v>
      </c>
      <c r="F351" s="4" t="s">
        <v>1082</v>
      </c>
    </row>
    <row r="352" spans="5:6" customFormat="1" x14ac:dyDescent="0.25">
      <c r="E352" s="4" t="s">
        <v>346</v>
      </c>
      <c r="F352" s="4" t="s">
        <v>1083</v>
      </c>
    </row>
    <row r="353" spans="5:6" customFormat="1" x14ac:dyDescent="0.25">
      <c r="E353" s="4" t="s">
        <v>347</v>
      </c>
      <c r="F353" s="4" t="s">
        <v>1084</v>
      </c>
    </row>
    <row r="354" spans="5:6" customFormat="1" x14ac:dyDescent="0.25">
      <c r="E354" s="4" t="s">
        <v>348</v>
      </c>
      <c r="F354" s="4" t="s">
        <v>1085</v>
      </c>
    </row>
    <row r="355" spans="5:6" customFormat="1" x14ac:dyDescent="0.25">
      <c r="E355" s="4" t="s">
        <v>349</v>
      </c>
      <c r="F355" s="4" t="s">
        <v>1086</v>
      </c>
    </row>
    <row r="356" spans="5:6" customFormat="1" x14ac:dyDescent="0.25">
      <c r="E356" s="4" t="s">
        <v>350</v>
      </c>
      <c r="F356" s="4" t="s">
        <v>1087</v>
      </c>
    </row>
    <row r="357" spans="5:6" customFormat="1" x14ac:dyDescent="0.25">
      <c r="E357" s="4" t="s">
        <v>351</v>
      </c>
      <c r="F357" s="4" t="s">
        <v>1088</v>
      </c>
    </row>
    <row r="358" spans="5:6" customFormat="1" x14ac:dyDescent="0.25">
      <c r="E358" s="4" t="s">
        <v>352</v>
      </c>
      <c r="F358" s="4" t="s">
        <v>1089</v>
      </c>
    </row>
    <row r="359" spans="5:6" customFormat="1" x14ac:dyDescent="0.25">
      <c r="E359" s="4" t="s">
        <v>353</v>
      </c>
      <c r="F359" s="4" t="s">
        <v>1090</v>
      </c>
    </row>
    <row r="360" spans="5:6" customFormat="1" x14ac:dyDescent="0.25">
      <c r="E360" s="4" t="s">
        <v>354</v>
      </c>
      <c r="F360" s="4" t="s">
        <v>1091</v>
      </c>
    </row>
    <row r="361" spans="5:6" customFormat="1" x14ac:dyDescent="0.25">
      <c r="E361" s="4" t="s">
        <v>355</v>
      </c>
      <c r="F361" s="4" t="s">
        <v>1092</v>
      </c>
    </row>
    <row r="362" spans="5:6" customFormat="1" x14ac:dyDescent="0.25">
      <c r="E362" s="4" t="s">
        <v>356</v>
      </c>
      <c r="F362" s="4" t="s">
        <v>1093</v>
      </c>
    </row>
    <row r="363" spans="5:6" customFormat="1" x14ac:dyDescent="0.25">
      <c r="E363" s="4" t="s">
        <v>357</v>
      </c>
      <c r="F363" s="4" t="s">
        <v>1094</v>
      </c>
    </row>
    <row r="364" spans="5:6" customFormat="1" x14ac:dyDescent="0.25">
      <c r="E364" s="4" t="s">
        <v>358</v>
      </c>
      <c r="F364" s="4" t="s">
        <v>1095</v>
      </c>
    </row>
    <row r="365" spans="5:6" customFormat="1" x14ac:dyDescent="0.25">
      <c r="E365" s="4" t="s">
        <v>359</v>
      </c>
      <c r="F365" s="4" t="s">
        <v>1096</v>
      </c>
    </row>
    <row r="366" spans="5:6" customFormat="1" x14ac:dyDescent="0.25">
      <c r="E366" s="4" t="s">
        <v>360</v>
      </c>
      <c r="F366" s="4" t="s">
        <v>1097</v>
      </c>
    </row>
    <row r="367" spans="5:6" customFormat="1" x14ac:dyDescent="0.25">
      <c r="E367" s="4" t="s">
        <v>361</v>
      </c>
      <c r="F367" s="4" t="s">
        <v>1098</v>
      </c>
    </row>
    <row r="368" spans="5:6" customFormat="1" x14ac:dyDescent="0.25">
      <c r="E368" s="4" t="s">
        <v>362</v>
      </c>
      <c r="F368" s="4" t="s">
        <v>1099</v>
      </c>
    </row>
    <row r="369" spans="5:6" customFormat="1" x14ac:dyDescent="0.25">
      <c r="E369" s="4" t="s">
        <v>363</v>
      </c>
      <c r="F369" s="4" t="s">
        <v>1100</v>
      </c>
    </row>
    <row r="370" spans="5:6" customFormat="1" x14ac:dyDescent="0.25">
      <c r="E370" s="4" t="s">
        <v>364</v>
      </c>
      <c r="F370" s="4" t="s">
        <v>1101</v>
      </c>
    </row>
    <row r="371" spans="5:6" customFormat="1" x14ac:dyDescent="0.25">
      <c r="E371" s="4" t="s">
        <v>365</v>
      </c>
      <c r="F371" s="4" t="s">
        <v>1102</v>
      </c>
    </row>
    <row r="372" spans="5:6" customFormat="1" x14ac:dyDescent="0.25">
      <c r="E372" s="4" t="s">
        <v>366</v>
      </c>
      <c r="F372" s="4" t="s">
        <v>1103</v>
      </c>
    </row>
    <row r="373" spans="5:6" customFormat="1" x14ac:dyDescent="0.25">
      <c r="E373" s="4" t="s">
        <v>367</v>
      </c>
      <c r="F373" s="4" t="s">
        <v>1104</v>
      </c>
    </row>
    <row r="374" spans="5:6" customFormat="1" x14ac:dyDescent="0.25">
      <c r="E374" s="4" t="s">
        <v>368</v>
      </c>
      <c r="F374" s="4" t="s">
        <v>1105</v>
      </c>
    </row>
    <row r="375" spans="5:6" customFormat="1" x14ac:dyDescent="0.25">
      <c r="E375" s="4" t="s">
        <v>369</v>
      </c>
      <c r="F375" s="4" t="s">
        <v>1106</v>
      </c>
    </row>
    <row r="376" spans="5:6" customFormat="1" x14ac:dyDescent="0.25">
      <c r="E376" s="4" t="s">
        <v>370</v>
      </c>
      <c r="F376" s="4" t="s">
        <v>1107</v>
      </c>
    </row>
    <row r="377" spans="5:6" customFormat="1" x14ac:dyDescent="0.25">
      <c r="E377" s="4" t="s">
        <v>371</v>
      </c>
      <c r="F377" s="4" t="s">
        <v>1108</v>
      </c>
    </row>
    <row r="378" spans="5:6" customFormat="1" x14ac:dyDescent="0.25">
      <c r="E378" s="4" t="s">
        <v>372</v>
      </c>
      <c r="F378" s="4" t="s">
        <v>1109</v>
      </c>
    </row>
    <row r="379" spans="5:6" customFormat="1" x14ac:dyDescent="0.25">
      <c r="E379" s="4" t="s">
        <v>373</v>
      </c>
      <c r="F379" s="4" t="s">
        <v>1110</v>
      </c>
    </row>
    <row r="380" spans="5:6" customFormat="1" x14ac:dyDescent="0.25">
      <c r="E380" s="4" t="s">
        <v>374</v>
      </c>
      <c r="F380" s="4" t="s">
        <v>1111</v>
      </c>
    </row>
    <row r="381" spans="5:6" customFormat="1" x14ac:dyDescent="0.25">
      <c r="E381" s="4" t="s">
        <v>375</v>
      </c>
      <c r="F381" s="4" t="s">
        <v>1112</v>
      </c>
    </row>
    <row r="382" spans="5:6" customFormat="1" x14ac:dyDescent="0.25">
      <c r="E382" s="4" t="s">
        <v>376</v>
      </c>
      <c r="F382" s="4" t="s">
        <v>1113</v>
      </c>
    </row>
    <row r="383" spans="5:6" customFormat="1" x14ac:dyDescent="0.25">
      <c r="E383" s="4" t="s">
        <v>377</v>
      </c>
      <c r="F383" s="4" t="s">
        <v>1114</v>
      </c>
    </row>
    <row r="384" spans="5:6" customFormat="1" x14ac:dyDescent="0.25">
      <c r="E384" s="4" t="s">
        <v>378</v>
      </c>
      <c r="F384" s="4" t="s">
        <v>1115</v>
      </c>
    </row>
    <row r="385" spans="5:6" customFormat="1" x14ac:dyDescent="0.25">
      <c r="E385" s="4" t="s">
        <v>379</v>
      </c>
      <c r="F385" s="4" t="s">
        <v>1116</v>
      </c>
    </row>
    <row r="386" spans="5:6" customFormat="1" x14ac:dyDescent="0.25">
      <c r="E386" s="4" t="s">
        <v>380</v>
      </c>
      <c r="F386" s="4" t="s">
        <v>1117</v>
      </c>
    </row>
    <row r="387" spans="5:6" customFormat="1" x14ac:dyDescent="0.25">
      <c r="E387" s="4" t="s">
        <v>381</v>
      </c>
      <c r="F387" s="4" t="s">
        <v>1118</v>
      </c>
    </row>
    <row r="388" spans="5:6" customFormat="1" x14ac:dyDescent="0.25">
      <c r="E388" s="4" t="s">
        <v>382</v>
      </c>
      <c r="F388" s="4" t="s">
        <v>1119</v>
      </c>
    </row>
    <row r="389" spans="5:6" customFormat="1" x14ac:dyDescent="0.25">
      <c r="E389" s="4" t="s">
        <v>383</v>
      </c>
      <c r="F389" s="4" t="s">
        <v>1120</v>
      </c>
    </row>
    <row r="390" spans="5:6" customFormat="1" x14ac:dyDescent="0.25">
      <c r="E390" s="4" t="s">
        <v>384</v>
      </c>
      <c r="F390" s="4" t="s">
        <v>1121</v>
      </c>
    </row>
    <row r="391" spans="5:6" customFormat="1" x14ac:dyDescent="0.25">
      <c r="E391" s="4" t="s">
        <v>385</v>
      </c>
      <c r="F391" s="4" t="s">
        <v>1122</v>
      </c>
    </row>
    <row r="392" spans="5:6" customFormat="1" x14ac:dyDescent="0.25">
      <c r="E392" s="4" t="s">
        <v>386</v>
      </c>
      <c r="F392" s="4" t="s">
        <v>1123</v>
      </c>
    </row>
    <row r="393" spans="5:6" customFormat="1" x14ac:dyDescent="0.25">
      <c r="E393" s="4" t="s">
        <v>387</v>
      </c>
      <c r="F393" s="4" t="s">
        <v>1124</v>
      </c>
    </row>
    <row r="394" spans="5:6" customFormat="1" x14ac:dyDescent="0.25">
      <c r="E394" s="4" t="s">
        <v>388</v>
      </c>
      <c r="F394" s="4" t="s">
        <v>1125</v>
      </c>
    </row>
    <row r="395" spans="5:6" customFormat="1" x14ac:dyDescent="0.25">
      <c r="E395" s="4" t="s">
        <v>389</v>
      </c>
      <c r="F395" s="4" t="s">
        <v>1126</v>
      </c>
    </row>
    <row r="396" spans="5:6" customFormat="1" x14ac:dyDescent="0.25">
      <c r="E396" s="4" t="s">
        <v>390</v>
      </c>
      <c r="F396" s="4" t="s">
        <v>1127</v>
      </c>
    </row>
    <row r="397" spans="5:6" customFormat="1" x14ac:dyDescent="0.25">
      <c r="E397" s="4" t="s">
        <v>331</v>
      </c>
      <c r="F397" s="4" t="s">
        <v>1128</v>
      </c>
    </row>
    <row r="398" spans="5:6" customFormat="1" x14ac:dyDescent="0.25">
      <c r="E398" s="4" t="s">
        <v>391</v>
      </c>
      <c r="F398" s="4" t="s">
        <v>1129</v>
      </c>
    </row>
    <row r="399" spans="5:6" customFormat="1" x14ac:dyDescent="0.25">
      <c r="E399" s="4" t="s">
        <v>392</v>
      </c>
      <c r="F399" s="4" t="s">
        <v>1130</v>
      </c>
    </row>
    <row r="400" spans="5:6" customFormat="1" x14ac:dyDescent="0.25">
      <c r="E400" s="4" t="s">
        <v>393</v>
      </c>
      <c r="F400" s="4" t="s">
        <v>1131</v>
      </c>
    </row>
    <row r="401" spans="5:6" customFormat="1" x14ac:dyDescent="0.25">
      <c r="E401" s="4" t="s">
        <v>394</v>
      </c>
      <c r="F401" s="4" t="s">
        <v>1132</v>
      </c>
    </row>
    <row r="402" spans="5:6" customFormat="1" x14ac:dyDescent="0.25">
      <c r="E402" s="4" t="s">
        <v>395</v>
      </c>
      <c r="F402" s="4" t="s">
        <v>1133</v>
      </c>
    </row>
    <row r="403" spans="5:6" customFormat="1" x14ac:dyDescent="0.25">
      <c r="E403" s="4" t="s">
        <v>396</v>
      </c>
      <c r="F403" s="4" t="s">
        <v>1134</v>
      </c>
    </row>
    <row r="404" spans="5:6" customFormat="1" x14ac:dyDescent="0.25">
      <c r="E404" s="4" t="s">
        <v>397</v>
      </c>
      <c r="F404" s="4" t="s">
        <v>1135</v>
      </c>
    </row>
    <row r="405" spans="5:6" customFormat="1" x14ac:dyDescent="0.25">
      <c r="E405" s="4" t="s">
        <v>398</v>
      </c>
      <c r="F405" s="4" t="s">
        <v>1136</v>
      </c>
    </row>
    <row r="406" spans="5:6" customFormat="1" x14ac:dyDescent="0.25">
      <c r="E406" s="4" t="s">
        <v>399</v>
      </c>
      <c r="F406" s="4" t="s">
        <v>1137</v>
      </c>
    </row>
    <row r="407" spans="5:6" customFormat="1" x14ac:dyDescent="0.25">
      <c r="E407" s="4" t="s">
        <v>400</v>
      </c>
      <c r="F407" s="4" t="s">
        <v>1138</v>
      </c>
    </row>
    <row r="408" spans="5:6" customFormat="1" x14ac:dyDescent="0.25">
      <c r="E408" s="4" t="s">
        <v>401</v>
      </c>
      <c r="F408" s="4" t="s">
        <v>1139</v>
      </c>
    </row>
    <row r="409" spans="5:6" customFormat="1" x14ac:dyDescent="0.25">
      <c r="E409" s="4" t="s">
        <v>402</v>
      </c>
      <c r="F409" s="4" t="s">
        <v>1140</v>
      </c>
    </row>
    <row r="410" spans="5:6" customFormat="1" x14ac:dyDescent="0.25">
      <c r="E410" s="4" t="s">
        <v>403</v>
      </c>
      <c r="F410" s="4" t="s">
        <v>1141</v>
      </c>
    </row>
    <row r="411" spans="5:6" customFormat="1" x14ac:dyDescent="0.25">
      <c r="E411" s="4" t="s">
        <v>404</v>
      </c>
      <c r="F411" s="4" t="s">
        <v>1142</v>
      </c>
    </row>
    <row r="412" spans="5:6" customFormat="1" x14ac:dyDescent="0.25">
      <c r="E412" s="4" t="s">
        <v>405</v>
      </c>
      <c r="F412" s="4" t="s">
        <v>1143</v>
      </c>
    </row>
    <row r="413" spans="5:6" customFormat="1" x14ac:dyDescent="0.25">
      <c r="E413" s="4" t="s">
        <v>406</v>
      </c>
      <c r="F413" s="4" t="s">
        <v>1144</v>
      </c>
    </row>
    <row r="414" spans="5:6" customFormat="1" x14ac:dyDescent="0.25">
      <c r="E414" s="4" t="s">
        <v>407</v>
      </c>
      <c r="F414" s="4" t="s">
        <v>1145</v>
      </c>
    </row>
    <row r="415" spans="5:6" customFormat="1" x14ac:dyDescent="0.25">
      <c r="E415" s="4" t="s">
        <v>408</v>
      </c>
      <c r="F415" s="4" t="s">
        <v>1146</v>
      </c>
    </row>
    <row r="416" spans="5:6" customFormat="1" x14ac:dyDescent="0.25">
      <c r="E416" s="4" t="s">
        <v>409</v>
      </c>
      <c r="F416" s="4" t="s">
        <v>1147</v>
      </c>
    </row>
    <row r="417" spans="5:6" customFormat="1" x14ac:dyDescent="0.25">
      <c r="E417" s="4" t="s">
        <v>410</v>
      </c>
      <c r="F417" s="4" t="s">
        <v>1148</v>
      </c>
    </row>
    <row r="418" spans="5:6" customFormat="1" x14ac:dyDescent="0.25">
      <c r="E418" s="4" t="s">
        <v>411</v>
      </c>
      <c r="F418" s="4" t="s">
        <v>1149</v>
      </c>
    </row>
    <row r="419" spans="5:6" customFormat="1" x14ac:dyDescent="0.25">
      <c r="E419" s="4" t="s">
        <v>412</v>
      </c>
      <c r="F419" s="4" t="s">
        <v>1150</v>
      </c>
    </row>
    <row r="420" spans="5:6" customFormat="1" x14ac:dyDescent="0.25">
      <c r="E420" s="4" t="s">
        <v>413</v>
      </c>
      <c r="F420" s="4" t="s">
        <v>1151</v>
      </c>
    </row>
    <row r="421" spans="5:6" customFormat="1" x14ac:dyDescent="0.25">
      <c r="E421" s="4" t="s">
        <v>414</v>
      </c>
      <c r="F421" s="4" t="s">
        <v>1152</v>
      </c>
    </row>
    <row r="422" spans="5:6" customFormat="1" x14ac:dyDescent="0.25">
      <c r="E422" s="4" t="s">
        <v>415</v>
      </c>
      <c r="F422" s="4" t="s">
        <v>1153</v>
      </c>
    </row>
    <row r="423" spans="5:6" customFormat="1" x14ac:dyDescent="0.25">
      <c r="E423" s="4" t="s">
        <v>416</v>
      </c>
      <c r="F423" s="4" t="s">
        <v>1154</v>
      </c>
    </row>
    <row r="424" spans="5:6" customFormat="1" x14ac:dyDescent="0.25">
      <c r="E424" s="4" t="s">
        <v>417</v>
      </c>
      <c r="F424" s="4" t="s">
        <v>1155</v>
      </c>
    </row>
    <row r="425" spans="5:6" customFormat="1" x14ac:dyDescent="0.25">
      <c r="E425" s="4" t="s">
        <v>418</v>
      </c>
      <c r="F425" s="4" t="s">
        <v>1156</v>
      </c>
    </row>
    <row r="426" spans="5:6" customFormat="1" x14ac:dyDescent="0.25">
      <c r="E426" s="4" t="s">
        <v>419</v>
      </c>
      <c r="F426" s="4" t="s">
        <v>1157</v>
      </c>
    </row>
    <row r="427" spans="5:6" customFormat="1" x14ac:dyDescent="0.25">
      <c r="E427" s="4" t="s">
        <v>420</v>
      </c>
      <c r="F427" s="4" t="s">
        <v>1158</v>
      </c>
    </row>
    <row r="428" spans="5:6" customFormat="1" x14ac:dyDescent="0.25">
      <c r="E428" s="4" t="s">
        <v>421</v>
      </c>
      <c r="F428" s="4" t="s">
        <v>1159</v>
      </c>
    </row>
    <row r="429" spans="5:6" customFormat="1" x14ac:dyDescent="0.25">
      <c r="E429" s="4" t="s">
        <v>422</v>
      </c>
      <c r="F429" s="4" t="s">
        <v>1160</v>
      </c>
    </row>
    <row r="430" spans="5:6" customFormat="1" x14ac:dyDescent="0.25">
      <c r="E430" s="4" t="s">
        <v>423</v>
      </c>
      <c r="F430" s="4" t="s">
        <v>1161</v>
      </c>
    </row>
    <row r="431" spans="5:6" customFormat="1" x14ac:dyDescent="0.25">
      <c r="E431" s="4" t="s">
        <v>424</v>
      </c>
      <c r="F431" s="4" t="s">
        <v>1162</v>
      </c>
    </row>
    <row r="432" spans="5:6" customFormat="1" x14ac:dyDescent="0.25">
      <c r="E432" s="4" t="s">
        <v>425</v>
      </c>
      <c r="F432" s="4" t="s">
        <v>1163</v>
      </c>
    </row>
    <row r="433" spans="5:6" customFormat="1" x14ac:dyDescent="0.25">
      <c r="E433" s="4" t="s">
        <v>426</v>
      </c>
      <c r="F433" s="4" t="s">
        <v>1164</v>
      </c>
    </row>
    <row r="434" spans="5:6" customFormat="1" x14ac:dyDescent="0.25">
      <c r="E434" s="4" t="s">
        <v>427</v>
      </c>
      <c r="F434" s="4" t="s">
        <v>1165</v>
      </c>
    </row>
    <row r="435" spans="5:6" customFormat="1" x14ac:dyDescent="0.25">
      <c r="E435" s="4" t="s">
        <v>428</v>
      </c>
      <c r="F435" s="4" t="s">
        <v>1166</v>
      </c>
    </row>
    <row r="436" spans="5:6" customFormat="1" x14ac:dyDescent="0.25">
      <c r="E436" s="4" t="s">
        <v>429</v>
      </c>
      <c r="F436" s="4" t="s">
        <v>1167</v>
      </c>
    </row>
    <row r="437" spans="5:6" customFormat="1" x14ac:dyDescent="0.25">
      <c r="E437" s="4" t="s">
        <v>430</v>
      </c>
      <c r="F437" s="4" t="s">
        <v>1168</v>
      </c>
    </row>
    <row r="438" spans="5:6" customFormat="1" x14ac:dyDescent="0.25">
      <c r="E438" s="4" t="s">
        <v>431</v>
      </c>
      <c r="F438" s="4" t="s">
        <v>1169</v>
      </c>
    </row>
    <row r="439" spans="5:6" customFormat="1" x14ac:dyDescent="0.25">
      <c r="E439" s="4" t="s">
        <v>432</v>
      </c>
      <c r="F439" s="4" t="s">
        <v>1170</v>
      </c>
    </row>
    <row r="440" spans="5:6" customFormat="1" x14ac:dyDescent="0.25">
      <c r="E440" s="4" t="s">
        <v>433</v>
      </c>
      <c r="F440" s="4" t="s">
        <v>1171</v>
      </c>
    </row>
    <row r="441" spans="5:6" customFormat="1" x14ac:dyDescent="0.25">
      <c r="E441" s="4" t="s">
        <v>434</v>
      </c>
      <c r="F441" s="4" t="s">
        <v>1172</v>
      </c>
    </row>
    <row r="442" spans="5:6" customFormat="1" x14ac:dyDescent="0.25">
      <c r="E442" s="4" t="s">
        <v>435</v>
      </c>
      <c r="F442" s="4" t="s">
        <v>1173</v>
      </c>
    </row>
    <row r="443" spans="5:6" customFormat="1" x14ac:dyDescent="0.25">
      <c r="E443" s="4" t="s">
        <v>436</v>
      </c>
      <c r="F443" s="4" t="s">
        <v>1174</v>
      </c>
    </row>
    <row r="444" spans="5:6" customFormat="1" x14ac:dyDescent="0.25">
      <c r="E444" s="4" t="s">
        <v>437</v>
      </c>
      <c r="F444" s="4" t="s">
        <v>1175</v>
      </c>
    </row>
    <row r="445" spans="5:6" customFormat="1" x14ac:dyDescent="0.25">
      <c r="E445" s="4" t="s">
        <v>438</v>
      </c>
      <c r="F445" s="4" t="s">
        <v>1176</v>
      </c>
    </row>
    <row r="446" spans="5:6" customFormat="1" x14ac:dyDescent="0.25">
      <c r="E446" s="4" t="s">
        <v>439</v>
      </c>
      <c r="F446" s="4" t="s">
        <v>1177</v>
      </c>
    </row>
    <row r="447" spans="5:6" customFormat="1" x14ac:dyDescent="0.25">
      <c r="E447" s="4" t="s">
        <v>440</v>
      </c>
      <c r="F447" s="4" t="s">
        <v>1178</v>
      </c>
    </row>
    <row r="448" spans="5:6" customFormat="1" x14ac:dyDescent="0.25">
      <c r="E448" s="4" t="s">
        <v>441</v>
      </c>
      <c r="F448" s="4" t="s">
        <v>1179</v>
      </c>
    </row>
    <row r="449" spans="5:6" customFormat="1" x14ac:dyDescent="0.25">
      <c r="E449" s="4" t="s">
        <v>442</v>
      </c>
      <c r="F449" s="4" t="s">
        <v>1180</v>
      </c>
    </row>
    <row r="450" spans="5:6" customFormat="1" x14ac:dyDescent="0.25">
      <c r="E450" s="4" t="s">
        <v>443</v>
      </c>
      <c r="F450" s="4" t="s">
        <v>1181</v>
      </c>
    </row>
    <row r="451" spans="5:6" customFormat="1" x14ac:dyDescent="0.25">
      <c r="E451" s="4" t="s">
        <v>444</v>
      </c>
      <c r="F451" s="4" t="s">
        <v>1182</v>
      </c>
    </row>
    <row r="452" spans="5:6" customFormat="1" x14ac:dyDescent="0.25">
      <c r="E452" s="4" t="s">
        <v>445</v>
      </c>
      <c r="F452" s="4" t="s">
        <v>1183</v>
      </c>
    </row>
    <row r="453" spans="5:6" customFormat="1" x14ac:dyDescent="0.25">
      <c r="E453" s="4" t="s">
        <v>446</v>
      </c>
      <c r="F453" s="4" t="s">
        <v>1184</v>
      </c>
    </row>
    <row r="454" spans="5:6" customFormat="1" x14ac:dyDescent="0.25">
      <c r="E454" s="4" t="s">
        <v>447</v>
      </c>
      <c r="F454" s="4" t="s">
        <v>1185</v>
      </c>
    </row>
    <row r="455" spans="5:6" customFormat="1" x14ac:dyDescent="0.25">
      <c r="E455" s="4" t="s">
        <v>448</v>
      </c>
      <c r="F455" s="4" t="s">
        <v>1186</v>
      </c>
    </row>
    <row r="456" spans="5:6" customFormat="1" x14ac:dyDescent="0.25">
      <c r="E456" s="4" t="s">
        <v>449</v>
      </c>
      <c r="F456" s="4" t="s">
        <v>1187</v>
      </c>
    </row>
    <row r="457" spans="5:6" customFormat="1" x14ac:dyDescent="0.25">
      <c r="E457" s="4" t="s">
        <v>450</v>
      </c>
      <c r="F457" s="4" t="s">
        <v>1188</v>
      </c>
    </row>
    <row r="458" spans="5:6" customFormat="1" x14ac:dyDescent="0.25">
      <c r="E458" s="4" t="s">
        <v>451</v>
      </c>
      <c r="F458" s="4" t="s">
        <v>1189</v>
      </c>
    </row>
    <row r="459" spans="5:6" customFormat="1" x14ac:dyDescent="0.25">
      <c r="E459" s="4" t="s">
        <v>452</v>
      </c>
      <c r="F459" s="4" t="s">
        <v>1190</v>
      </c>
    </row>
    <row r="460" spans="5:6" customFormat="1" x14ac:dyDescent="0.25">
      <c r="E460" s="4" t="s">
        <v>453</v>
      </c>
      <c r="F460" s="4" t="s">
        <v>1191</v>
      </c>
    </row>
    <row r="461" spans="5:6" customFormat="1" x14ac:dyDescent="0.25">
      <c r="E461" s="4" t="s">
        <v>454</v>
      </c>
      <c r="F461" s="4" t="s">
        <v>1192</v>
      </c>
    </row>
    <row r="462" spans="5:6" customFormat="1" x14ac:dyDescent="0.25">
      <c r="E462" s="4" t="s">
        <v>455</v>
      </c>
      <c r="F462" s="4" t="s">
        <v>1193</v>
      </c>
    </row>
    <row r="463" spans="5:6" customFormat="1" x14ac:dyDescent="0.25">
      <c r="E463" s="4" t="s">
        <v>235</v>
      </c>
      <c r="F463" s="4" t="s">
        <v>1194</v>
      </c>
    </row>
    <row r="464" spans="5:6" customFormat="1" x14ac:dyDescent="0.25">
      <c r="E464" s="4" t="s">
        <v>456</v>
      </c>
      <c r="F464" s="4" t="s">
        <v>1195</v>
      </c>
    </row>
    <row r="465" spans="5:6" customFormat="1" x14ac:dyDescent="0.25">
      <c r="E465" s="4" t="s">
        <v>457</v>
      </c>
      <c r="F465" s="4" t="s">
        <v>1196</v>
      </c>
    </row>
    <row r="466" spans="5:6" customFormat="1" x14ac:dyDescent="0.25">
      <c r="E466" s="4" t="s">
        <v>458</v>
      </c>
      <c r="F466" s="4" t="s">
        <v>1197</v>
      </c>
    </row>
    <row r="467" spans="5:6" customFormat="1" x14ac:dyDescent="0.25">
      <c r="E467" s="4" t="s">
        <v>459</v>
      </c>
      <c r="F467" s="4" t="s">
        <v>1198</v>
      </c>
    </row>
    <row r="468" spans="5:6" customFormat="1" x14ac:dyDescent="0.25">
      <c r="E468" s="4" t="s">
        <v>460</v>
      </c>
      <c r="F468" s="4" t="s">
        <v>1199</v>
      </c>
    </row>
    <row r="469" spans="5:6" customFormat="1" x14ac:dyDescent="0.25">
      <c r="E469" s="4" t="s">
        <v>461</v>
      </c>
      <c r="F469" s="4" t="s">
        <v>1200</v>
      </c>
    </row>
    <row r="470" spans="5:6" customFormat="1" x14ac:dyDescent="0.25">
      <c r="E470" s="4" t="s">
        <v>462</v>
      </c>
      <c r="F470" s="4" t="s">
        <v>1201</v>
      </c>
    </row>
    <row r="471" spans="5:6" customFormat="1" x14ac:dyDescent="0.25">
      <c r="E471" s="4" t="s">
        <v>463</v>
      </c>
      <c r="F471" s="4" t="s">
        <v>1202</v>
      </c>
    </row>
    <row r="472" spans="5:6" customFormat="1" x14ac:dyDescent="0.25">
      <c r="E472" s="4" t="s">
        <v>464</v>
      </c>
      <c r="F472" s="4" t="s">
        <v>1203</v>
      </c>
    </row>
    <row r="473" spans="5:6" customFormat="1" x14ac:dyDescent="0.25">
      <c r="E473" s="4" t="s">
        <v>465</v>
      </c>
      <c r="F473" s="4" t="s">
        <v>1204</v>
      </c>
    </row>
    <row r="474" spans="5:6" customFormat="1" x14ac:dyDescent="0.25">
      <c r="E474" s="4" t="s">
        <v>466</v>
      </c>
      <c r="F474" s="4" t="s">
        <v>1205</v>
      </c>
    </row>
    <row r="475" spans="5:6" customFormat="1" x14ac:dyDescent="0.25">
      <c r="E475" s="4" t="s">
        <v>467</v>
      </c>
      <c r="F475" s="4" t="s">
        <v>1206</v>
      </c>
    </row>
    <row r="476" spans="5:6" customFormat="1" x14ac:dyDescent="0.25">
      <c r="E476" s="4" t="s">
        <v>468</v>
      </c>
      <c r="F476" s="4" t="s">
        <v>1207</v>
      </c>
    </row>
    <row r="477" spans="5:6" customFormat="1" x14ac:dyDescent="0.25">
      <c r="E477" s="4" t="s">
        <v>469</v>
      </c>
      <c r="F477" s="4" t="s">
        <v>1208</v>
      </c>
    </row>
    <row r="478" spans="5:6" customFormat="1" x14ac:dyDescent="0.25">
      <c r="E478" s="4" t="s">
        <v>470</v>
      </c>
      <c r="F478" s="4" t="s">
        <v>1209</v>
      </c>
    </row>
    <row r="479" spans="5:6" customFormat="1" x14ac:dyDescent="0.25">
      <c r="E479" s="4" t="s">
        <v>471</v>
      </c>
      <c r="F479" s="4" t="s">
        <v>1210</v>
      </c>
    </row>
    <row r="480" spans="5:6" customFormat="1" x14ac:dyDescent="0.25">
      <c r="E480" s="4" t="s">
        <v>472</v>
      </c>
      <c r="F480" s="4" t="s">
        <v>1211</v>
      </c>
    </row>
    <row r="481" spans="5:6" customFormat="1" x14ac:dyDescent="0.25">
      <c r="E481" s="4" t="s">
        <v>473</v>
      </c>
      <c r="F481" s="4" t="s">
        <v>1212</v>
      </c>
    </row>
    <row r="482" spans="5:6" customFormat="1" x14ac:dyDescent="0.25">
      <c r="E482" s="4" t="s">
        <v>474</v>
      </c>
      <c r="F482" s="4" t="s">
        <v>1213</v>
      </c>
    </row>
    <row r="483" spans="5:6" customFormat="1" x14ac:dyDescent="0.25">
      <c r="E483" s="4" t="s">
        <v>475</v>
      </c>
      <c r="F483" s="4" t="s">
        <v>1214</v>
      </c>
    </row>
    <row r="484" spans="5:6" customFormat="1" x14ac:dyDescent="0.25">
      <c r="E484" s="4" t="s">
        <v>476</v>
      </c>
      <c r="F484" s="4" t="s">
        <v>1215</v>
      </c>
    </row>
    <row r="485" spans="5:6" customFormat="1" x14ac:dyDescent="0.25">
      <c r="E485" s="4" t="s">
        <v>477</v>
      </c>
      <c r="F485" s="4" t="s">
        <v>1216</v>
      </c>
    </row>
    <row r="486" spans="5:6" customFormat="1" x14ac:dyDescent="0.25">
      <c r="E486" s="4" t="s">
        <v>478</v>
      </c>
      <c r="F486" s="4" t="s">
        <v>1217</v>
      </c>
    </row>
    <row r="487" spans="5:6" customFormat="1" x14ac:dyDescent="0.25">
      <c r="E487" s="4" t="s">
        <v>479</v>
      </c>
      <c r="F487" s="4" t="s">
        <v>1218</v>
      </c>
    </row>
    <row r="488" spans="5:6" customFormat="1" x14ac:dyDescent="0.25">
      <c r="E488" s="4" t="s">
        <v>480</v>
      </c>
      <c r="F488" s="4" t="s">
        <v>1219</v>
      </c>
    </row>
    <row r="489" spans="5:6" customFormat="1" x14ac:dyDescent="0.25">
      <c r="E489" s="4" t="s">
        <v>481</v>
      </c>
      <c r="F489" s="4" t="s">
        <v>1220</v>
      </c>
    </row>
    <row r="490" spans="5:6" customFormat="1" x14ac:dyDescent="0.25">
      <c r="E490" s="4" t="s">
        <v>482</v>
      </c>
      <c r="F490" s="4" t="s">
        <v>1221</v>
      </c>
    </row>
    <row r="491" spans="5:6" customFormat="1" x14ac:dyDescent="0.25">
      <c r="E491" s="4" t="s">
        <v>424</v>
      </c>
      <c r="F491" s="4" t="s">
        <v>1222</v>
      </c>
    </row>
    <row r="492" spans="5:6" customFormat="1" x14ac:dyDescent="0.25">
      <c r="E492" s="4" t="s">
        <v>483</v>
      </c>
      <c r="F492" s="4" t="s">
        <v>1223</v>
      </c>
    </row>
    <row r="493" spans="5:6" customFormat="1" x14ac:dyDescent="0.25">
      <c r="E493" s="4" t="s">
        <v>484</v>
      </c>
      <c r="F493" s="4" t="s">
        <v>1224</v>
      </c>
    </row>
    <row r="494" spans="5:6" customFormat="1" x14ac:dyDescent="0.25">
      <c r="E494" s="4" t="s">
        <v>485</v>
      </c>
      <c r="F494" s="4" t="s">
        <v>1225</v>
      </c>
    </row>
    <row r="495" spans="5:6" customFormat="1" x14ac:dyDescent="0.25">
      <c r="E495" s="4" t="s">
        <v>486</v>
      </c>
      <c r="F495" s="4" t="s">
        <v>1226</v>
      </c>
    </row>
    <row r="496" spans="5:6" customFormat="1" x14ac:dyDescent="0.25">
      <c r="E496" s="4" t="s">
        <v>487</v>
      </c>
      <c r="F496" s="4" t="s">
        <v>1227</v>
      </c>
    </row>
    <row r="497" spans="5:6" customFormat="1" x14ac:dyDescent="0.25">
      <c r="E497" s="4" t="s">
        <v>488</v>
      </c>
      <c r="F497" s="4" t="s">
        <v>1228</v>
      </c>
    </row>
    <row r="498" spans="5:6" customFormat="1" x14ac:dyDescent="0.25">
      <c r="E498" s="4" t="s">
        <v>489</v>
      </c>
      <c r="F498" s="4" t="s">
        <v>1229</v>
      </c>
    </row>
    <row r="499" spans="5:6" customFormat="1" x14ac:dyDescent="0.25">
      <c r="E499" s="4" t="s">
        <v>490</v>
      </c>
      <c r="F499" s="4" t="s">
        <v>1230</v>
      </c>
    </row>
    <row r="500" spans="5:6" customFormat="1" x14ac:dyDescent="0.25">
      <c r="E500" s="4" t="s">
        <v>491</v>
      </c>
      <c r="F500" s="4" t="s">
        <v>1231</v>
      </c>
    </row>
    <row r="501" spans="5:6" customFormat="1" x14ac:dyDescent="0.25">
      <c r="E501" s="4" t="s">
        <v>492</v>
      </c>
      <c r="F501" s="4" t="s">
        <v>1232</v>
      </c>
    </row>
    <row r="502" spans="5:6" customFormat="1" x14ac:dyDescent="0.25">
      <c r="E502" s="4" t="s">
        <v>140</v>
      </c>
      <c r="F502" s="4" t="s">
        <v>1233</v>
      </c>
    </row>
    <row r="503" spans="5:6" customFormat="1" x14ac:dyDescent="0.25">
      <c r="E503" s="4" t="s">
        <v>493</v>
      </c>
      <c r="F503" s="4" t="s">
        <v>1234</v>
      </c>
    </row>
    <row r="504" spans="5:6" customFormat="1" x14ac:dyDescent="0.25">
      <c r="E504" s="4" t="s">
        <v>494</v>
      </c>
      <c r="F504" s="4" t="s">
        <v>1235</v>
      </c>
    </row>
    <row r="505" spans="5:6" customFormat="1" x14ac:dyDescent="0.25">
      <c r="E505" s="4" t="s">
        <v>495</v>
      </c>
      <c r="F505" s="4" t="s">
        <v>1236</v>
      </c>
    </row>
    <row r="506" spans="5:6" customFormat="1" x14ac:dyDescent="0.25">
      <c r="E506" s="4" t="s">
        <v>496</v>
      </c>
      <c r="F506" s="4" t="s">
        <v>1237</v>
      </c>
    </row>
    <row r="507" spans="5:6" customFormat="1" x14ac:dyDescent="0.25">
      <c r="E507" s="4" t="s">
        <v>497</v>
      </c>
      <c r="F507" s="4" t="s">
        <v>1238</v>
      </c>
    </row>
    <row r="508" spans="5:6" customFormat="1" x14ac:dyDescent="0.25">
      <c r="E508" s="4" t="s">
        <v>498</v>
      </c>
      <c r="F508" s="4" t="s">
        <v>1239</v>
      </c>
    </row>
    <row r="509" spans="5:6" customFormat="1" x14ac:dyDescent="0.25">
      <c r="E509" s="4" t="s">
        <v>499</v>
      </c>
      <c r="F509" s="4" t="s">
        <v>1240</v>
      </c>
    </row>
    <row r="510" spans="5:6" customFormat="1" x14ac:dyDescent="0.25">
      <c r="E510" s="4" t="s">
        <v>500</v>
      </c>
      <c r="F510" s="4" t="s">
        <v>1241</v>
      </c>
    </row>
    <row r="511" spans="5:6" customFormat="1" x14ac:dyDescent="0.25">
      <c r="E511" s="4" t="s">
        <v>1242</v>
      </c>
      <c r="F511" s="4" t="s">
        <v>1243</v>
      </c>
    </row>
    <row r="512" spans="5:6" customFormat="1" x14ac:dyDescent="0.25">
      <c r="E512" s="4" t="s">
        <v>501</v>
      </c>
      <c r="F512" s="4" t="s">
        <v>1244</v>
      </c>
    </row>
    <row r="513" spans="5:6" customFormat="1" x14ac:dyDescent="0.25">
      <c r="E513" s="4" t="s">
        <v>502</v>
      </c>
      <c r="F513" s="4" t="s">
        <v>1245</v>
      </c>
    </row>
    <row r="514" spans="5:6" customFormat="1" x14ac:dyDescent="0.25">
      <c r="E514" s="4" t="s">
        <v>503</v>
      </c>
      <c r="F514" s="4" t="s">
        <v>1246</v>
      </c>
    </row>
    <row r="515" spans="5:6" customFormat="1" x14ac:dyDescent="0.25">
      <c r="E515" s="4" t="s">
        <v>504</v>
      </c>
      <c r="F515" s="4" t="s">
        <v>1247</v>
      </c>
    </row>
    <row r="516" spans="5:6" customFormat="1" x14ac:dyDescent="0.25">
      <c r="E516" s="4" t="s">
        <v>505</v>
      </c>
      <c r="F516" s="4" t="s">
        <v>1248</v>
      </c>
    </row>
    <row r="517" spans="5:6" customFormat="1" x14ac:dyDescent="0.25">
      <c r="E517" s="4" t="s">
        <v>506</v>
      </c>
      <c r="F517" s="4" t="s">
        <v>1249</v>
      </c>
    </row>
    <row r="518" spans="5:6" customFormat="1" x14ac:dyDescent="0.25">
      <c r="E518" s="4" t="s">
        <v>507</v>
      </c>
      <c r="F518" s="4" t="s">
        <v>1250</v>
      </c>
    </row>
    <row r="519" spans="5:6" customFormat="1" x14ac:dyDescent="0.25">
      <c r="E519" s="4" t="s">
        <v>508</v>
      </c>
      <c r="F519" s="4" t="s">
        <v>1251</v>
      </c>
    </row>
    <row r="520" spans="5:6" customFormat="1" x14ac:dyDescent="0.25">
      <c r="E520" s="4" t="s">
        <v>509</v>
      </c>
      <c r="F520" s="4" t="s">
        <v>1252</v>
      </c>
    </row>
    <row r="521" spans="5:6" customFormat="1" x14ac:dyDescent="0.25">
      <c r="E521" s="4" t="s">
        <v>510</v>
      </c>
      <c r="F521" s="4" t="s">
        <v>1253</v>
      </c>
    </row>
    <row r="522" spans="5:6" customFormat="1" x14ac:dyDescent="0.25">
      <c r="E522" s="4" t="s">
        <v>511</v>
      </c>
      <c r="F522" s="4" t="s">
        <v>1254</v>
      </c>
    </row>
    <row r="523" spans="5:6" customFormat="1" x14ac:dyDescent="0.25">
      <c r="E523" s="4" t="s">
        <v>512</v>
      </c>
      <c r="F523" s="4" t="s">
        <v>1255</v>
      </c>
    </row>
    <row r="524" spans="5:6" customFormat="1" x14ac:dyDescent="0.25">
      <c r="E524" s="4" t="s">
        <v>513</v>
      </c>
      <c r="F524" s="4" t="s">
        <v>1256</v>
      </c>
    </row>
    <row r="525" spans="5:6" customFormat="1" x14ac:dyDescent="0.25">
      <c r="E525" s="4" t="s">
        <v>514</v>
      </c>
      <c r="F525" s="4" t="s">
        <v>1257</v>
      </c>
    </row>
    <row r="526" spans="5:6" customFormat="1" x14ac:dyDescent="0.25">
      <c r="E526" s="4" t="s">
        <v>515</v>
      </c>
      <c r="F526" s="4" t="s">
        <v>1258</v>
      </c>
    </row>
    <row r="527" spans="5:6" customFormat="1" x14ac:dyDescent="0.25">
      <c r="E527" s="4" t="s">
        <v>516</v>
      </c>
      <c r="F527" s="4" t="s">
        <v>1259</v>
      </c>
    </row>
    <row r="528" spans="5:6" customFormat="1" x14ac:dyDescent="0.25">
      <c r="E528" s="4" t="s">
        <v>517</v>
      </c>
      <c r="F528" s="4" t="s">
        <v>1260</v>
      </c>
    </row>
    <row r="529" spans="5:6" customFormat="1" x14ac:dyDescent="0.25">
      <c r="E529" s="4" t="s">
        <v>518</v>
      </c>
      <c r="F529" s="4" t="s">
        <v>1261</v>
      </c>
    </row>
    <row r="530" spans="5:6" customFormat="1" x14ac:dyDescent="0.25">
      <c r="E530" s="4" t="s">
        <v>519</v>
      </c>
      <c r="F530" s="4" t="s">
        <v>1262</v>
      </c>
    </row>
    <row r="531" spans="5:6" customFormat="1" x14ac:dyDescent="0.25">
      <c r="E531" s="4" t="s">
        <v>520</v>
      </c>
      <c r="F531" s="4" t="s">
        <v>1263</v>
      </c>
    </row>
    <row r="532" spans="5:6" customFormat="1" x14ac:dyDescent="0.25">
      <c r="E532" s="4" t="s">
        <v>521</v>
      </c>
      <c r="F532" s="4" t="s">
        <v>1264</v>
      </c>
    </row>
    <row r="533" spans="5:6" customFormat="1" x14ac:dyDescent="0.25">
      <c r="E533" s="4" t="s">
        <v>522</v>
      </c>
      <c r="F533" s="4" t="s">
        <v>1265</v>
      </c>
    </row>
    <row r="534" spans="5:6" customFormat="1" x14ac:dyDescent="0.25">
      <c r="E534" s="4" t="s">
        <v>523</v>
      </c>
      <c r="F534" s="4" t="s">
        <v>1266</v>
      </c>
    </row>
    <row r="535" spans="5:6" customFormat="1" x14ac:dyDescent="0.25">
      <c r="E535" s="4" t="s">
        <v>524</v>
      </c>
      <c r="F535" s="4" t="s">
        <v>1267</v>
      </c>
    </row>
    <row r="536" spans="5:6" customFormat="1" x14ac:dyDescent="0.25">
      <c r="E536" s="4" t="s">
        <v>525</v>
      </c>
      <c r="F536" s="4" t="s">
        <v>1268</v>
      </c>
    </row>
    <row r="537" spans="5:6" customFormat="1" x14ac:dyDescent="0.25">
      <c r="E537" s="4" t="s">
        <v>526</v>
      </c>
      <c r="F537" s="4" t="s">
        <v>1269</v>
      </c>
    </row>
    <row r="538" spans="5:6" customFormat="1" x14ac:dyDescent="0.25">
      <c r="E538" s="4" t="s">
        <v>527</v>
      </c>
      <c r="F538" s="4" t="s">
        <v>1270</v>
      </c>
    </row>
    <row r="539" spans="5:6" customFormat="1" x14ac:dyDescent="0.25">
      <c r="E539" s="4" t="s">
        <v>528</v>
      </c>
      <c r="F539" s="4" t="s">
        <v>1271</v>
      </c>
    </row>
    <row r="540" spans="5:6" customFormat="1" x14ac:dyDescent="0.25">
      <c r="E540" s="4" t="s">
        <v>529</v>
      </c>
      <c r="F540" s="4" t="s">
        <v>1272</v>
      </c>
    </row>
    <row r="541" spans="5:6" customFormat="1" x14ac:dyDescent="0.25">
      <c r="E541" s="4" t="s">
        <v>530</v>
      </c>
      <c r="F541" s="4" t="s">
        <v>1273</v>
      </c>
    </row>
    <row r="542" spans="5:6" customFormat="1" x14ac:dyDescent="0.25">
      <c r="E542" s="4" t="s">
        <v>531</v>
      </c>
      <c r="F542" s="4" t="s">
        <v>1274</v>
      </c>
    </row>
    <row r="543" spans="5:6" customFormat="1" x14ac:dyDescent="0.25">
      <c r="E543" s="4" t="s">
        <v>532</v>
      </c>
      <c r="F543" s="4" t="s">
        <v>1275</v>
      </c>
    </row>
    <row r="544" spans="5:6" customFormat="1" x14ac:dyDescent="0.25">
      <c r="E544" s="4" t="s">
        <v>533</v>
      </c>
      <c r="F544" s="4" t="s">
        <v>1276</v>
      </c>
    </row>
    <row r="545" spans="5:6" customFormat="1" x14ac:dyDescent="0.25">
      <c r="E545" s="4" t="s">
        <v>534</v>
      </c>
      <c r="F545" s="4" t="s">
        <v>1277</v>
      </c>
    </row>
    <row r="546" spans="5:6" customFormat="1" x14ac:dyDescent="0.25">
      <c r="E546" s="4" t="s">
        <v>535</v>
      </c>
      <c r="F546" s="4" t="s">
        <v>1278</v>
      </c>
    </row>
    <row r="547" spans="5:6" customFormat="1" x14ac:dyDescent="0.25">
      <c r="E547" s="4" t="s">
        <v>536</v>
      </c>
      <c r="F547" s="4" t="s">
        <v>1279</v>
      </c>
    </row>
    <row r="548" spans="5:6" customFormat="1" x14ac:dyDescent="0.25">
      <c r="E548" s="4" t="s">
        <v>537</v>
      </c>
      <c r="F548" s="4" t="s">
        <v>1280</v>
      </c>
    </row>
    <row r="549" spans="5:6" customFormat="1" x14ac:dyDescent="0.25">
      <c r="E549" s="4" t="s">
        <v>65</v>
      </c>
      <c r="F549" s="4" t="s">
        <v>1281</v>
      </c>
    </row>
    <row r="550" spans="5:6" customFormat="1" x14ac:dyDescent="0.25">
      <c r="E550" s="4" t="s">
        <v>538</v>
      </c>
      <c r="F550" s="4" t="s">
        <v>1282</v>
      </c>
    </row>
    <row r="551" spans="5:6" customFormat="1" x14ac:dyDescent="0.25">
      <c r="E551" s="4" t="s">
        <v>539</v>
      </c>
      <c r="F551" s="4" t="s">
        <v>1283</v>
      </c>
    </row>
    <row r="552" spans="5:6" customFormat="1" x14ac:dyDescent="0.25">
      <c r="E552" s="4" t="s">
        <v>540</v>
      </c>
      <c r="F552" s="4" t="s">
        <v>1284</v>
      </c>
    </row>
    <row r="553" spans="5:6" customFormat="1" x14ac:dyDescent="0.25">
      <c r="E553" s="4" t="s">
        <v>541</v>
      </c>
      <c r="F553" s="4" t="s">
        <v>1285</v>
      </c>
    </row>
    <row r="554" spans="5:6" customFormat="1" x14ac:dyDescent="0.25">
      <c r="E554" s="4" t="s">
        <v>542</v>
      </c>
      <c r="F554" s="4" t="s">
        <v>1286</v>
      </c>
    </row>
    <row r="555" spans="5:6" customFormat="1" x14ac:dyDescent="0.25">
      <c r="E555" s="4" t="s">
        <v>543</v>
      </c>
      <c r="F555" s="4" t="s">
        <v>1287</v>
      </c>
    </row>
    <row r="556" spans="5:6" customFormat="1" x14ac:dyDescent="0.25">
      <c r="E556" s="4" t="s">
        <v>544</v>
      </c>
      <c r="F556" s="4" t="s">
        <v>1288</v>
      </c>
    </row>
    <row r="557" spans="5:6" customFormat="1" x14ac:dyDescent="0.25">
      <c r="E557" s="4" t="s">
        <v>545</v>
      </c>
      <c r="F557" s="4" t="s">
        <v>1289</v>
      </c>
    </row>
    <row r="558" spans="5:6" customFormat="1" x14ac:dyDescent="0.25">
      <c r="E558" s="4" t="s">
        <v>546</v>
      </c>
      <c r="F558" s="4" t="s">
        <v>1290</v>
      </c>
    </row>
    <row r="559" spans="5:6" customFormat="1" x14ac:dyDescent="0.25">
      <c r="E559" s="4" t="s">
        <v>547</v>
      </c>
      <c r="F559" s="4" t="s">
        <v>1291</v>
      </c>
    </row>
    <row r="560" spans="5:6" customFormat="1" x14ac:dyDescent="0.25">
      <c r="E560" s="4" t="s">
        <v>548</v>
      </c>
      <c r="F560" s="4" t="s">
        <v>1292</v>
      </c>
    </row>
    <row r="561" spans="5:6" customFormat="1" x14ac:dyDescent="0.25">
      <c r="E561" s="4" t="s">
        <v>549</v>
      </c>
      <c r="F561" s="4" t="s">
        <v>1293</v>
      </c>
    </row>
    <row r="562" spans="5:6" customFormat="1" x14ac:dyDescent="0.25">
      <c r="E562" s="4" t="s">
        <v>550</v>
      </c>
      <c r="F562" s="4" t="s">
        <v>1294</v>
      </c>
    </row>
    <row r="563" spans="5:6" customFormat="1" x14ac:dyDescent="0.25">
      <c r="E563" s="4" t="s">
        <v>551</v>
      </c>
      <c r="F563" s="4" t="s">
        <v>1295</v>
      </c>
    </row>
    <row r="564" spans="5:6" customFormat="1" x14ac:dyDescent="0.25">
      <c r="E564" s="4" t="s">
        <v>552</v>
      </c>
      <c r="F564" s="4" t="s">
        <v>1296</v>
      </c>
    </row>
    <row r="565" spans="5:6" customFormat="1" x14ac:dyDescent="0.25">
      <c r="E565" s="4" t="s">
        <v>553</v>
      </c>
      <c r="F565" s="4" t="s">
        <v>1297</v>
      </c>
    </row>
    <row r="566" spans="5:6" customFormat="1" x14ac:dyDescent="0.25">
      <c r="E566" s="4" t="s">
        <v>554</v>
      </c>
      <c r="F566" s="4" t="s">
        <v>1298</v>
      </c>
    </row>
    <row r="567" spans="5:6" customFormat="1" x14ac:dyDescent="0.25">
      <c r="E567" s="4" t="s">
        <v>555</v>
      </c>
      <c r="F567" s="4" t="s">
        <v>1299</v>
      </c>
    </row>
    <row r="568" spans="5:6" customFormat="1" x14ac:dyDescent="0.25">
      <c r="E568" s="4" t="s">
        <v>556</v>
      </c>
      <c r="F568" s="4" t="s">
        <v>1300</v>
      </c>
    </row>
    <row r="569" spans="5:6" customFormat="1" x14ac:dyDescent="0.25">
      <c r="E569" s="4" t="s">
        <v>557</v>
      </c>
      <c r="F569" s="4" t="s">
        <v>1301</v>
      </c>
    </row>
    <row r="570" spans="5:6" customFormat="1" x14ac:dyDescent="0.25">
      <c r="E570" s="4" t="s">
        <v>558</v>
      </c>
      <c r="F570" s="4" t="s">
        <v>1302</v>
      </c>
    </row>
    <row r="571" spans="5:6" customFormat="1" x14ac:dyDescent="0.25">
      <c r="E571" s="4" t="s">
        <v>559</v>
      </c>
      <c r="F571" s="4" t="s">
        <v>1303</v>
      </c>
    </row>
    <row r="572" spans="5:6" customFormat="1" x14ac:dyDescent="0.25">
      <c r="E572" s="4" t="s">
        <v>560</v>
      </c>
      <c r="F572" s="4" t="s">
        <v>1304</v>
      </c>
    </row>
    <row r="573" spans="5:6" customFormat="1" x14ac:dyDescent="0.25">
      <c r="E573" s="4" t="s">
        <v>561</v>
      </c>
      <c r="F573" s="4" t="s">
        <v>1305</v>
      </c>
    </row>
    <row r="574" spans="5:6" customFormat="1" x14ac:dyDescent="0.25">
      <c r="E574" s="4" t="s">
        <v>562</v>
      </c>
      <c r="F574" s="4" t="s">
        <v>1306</v>
      </c>
    </row>
    <row r="575" spans="5:6" customFormat="1" x14ac:dyDescent="0.25">
      <c r="E575" s="4" t="s">
        <v>563</v>
      </c>
      <c r="F575" s="4" t="s">
        <v>1307</v>
      </c>
    </row>
    <row r="576" spans="5:6" customFormat="1" x14ac:dyDescent="0.25">
      <c r="E576" s="4" t="s">
        <v>564</v>
      </c>
      <c r="F576" s="4" t="s">
        <v>1308</v>
      </c>
    </row>
    <row r="577" spans="5:6" customFormat="1" x14ac:dyDescent="0.25">
      <c r="E577" s="4" t="s">
        <v>565</v>
      </c>
      <c r="F577" s="4" t="s">
        <v>1309</v>
      </c>
    </row>
    <row r="578" spans="5:6" customFormat="1" x14ac:dyDescent="0.25">
      <c r="E578" s="4" t="s">
        <v>566</v>
      </c>
      <c r="F578" s="4" t="s">
        <v>1310</v>
      </c>
    </row>
    <row r="579" spans="5:6" customFormat="1" x14ac:dyDescent="0.25">
      <c r="E579" s="4" t="s">
        <v>567</v>
      </c>
      <c r="F579" s="4" t="s">
        <v>1311</v>
      </c>
    </row>
    <row r="580" spans="5:6" customFormat="1" x14ac:dyDescent="0.25">
      <c r="E580" s="4" t="s">
        <v>568</v>
      </c>
      <c r="F580" s="4" t="s">
        <v>1312</v>
      </c>
    </row>
    <row r="581" spans="5:6" customFormat="1" x14ac:dyDescent="0.25">
      <c r="E581" s="4" t="s">
        <v>569</v>
      </c>
      <c r="F581" s="4" t="s">
        <v>1313</v>
      </c>
    </row>
    <row r="582" spans="5:6" customFormat="1" x14ac:dyDescent="0.25">
      <c r="E582" s="4" t="s">
        <v>570</v>
      </c>
      <c r="F582" s="4" t="s">
        <v>1314</v>
      </c>
    </row>
    <row r="583" spans="5:6" customFormat="1" x14ac:dyDescent="0.25">
      <c r="E583" s="4" t="s">
        <v>571</v>
      </c>
      <c r="F583" s="4" t="s">
        <v>1315</v>
      </c>
    </row>
    <row r="584" spans="5:6" customFormat="1" x14ac:dyDescent="0.25">
      <c r="E584" s="4" t="s">
        <v>572</v>
      </c>
      <c r="F584" s="4" t="s">
        <v>1316</v>
      </c>
    </row>
    <row r="585" spans="5:6" customFormat="1" x14ac:dyDescent="0.25">
      <c r="E585" s="4" t="s">
        <v>573</v>
      </c>
      <c r="F585" s="4" t="s">
        <v>1317</v>
      </c>
    </row>
    <row r="586" spans="5:6" customFormat="1" x14ac:dyDescent="0.25">
      <c r="E586" s="4" t="s">
        <v>574</v>
      </c>
      <c r="F586" s="4" t="s">
        <v>1318</v>
      </c>
    </row>
    <row r="587" spans="5:6" customFormat="1" x14ac:dyDescent="0.25">
      <c r="E587" s="4" t="s">
        <v>575</v>
      </c>
      <c r="F587" s="4" t="s">
        <v>1319</v>
      </c>
    </row>
    <row r="588" spans="5:6" customFormat="1" x14ac:dyDescent="0.25">
      <c r="E588" s="4" t="s">
        <v>576</v>
      </c>
      <c r="F588" s="4" t="s">
        <v>1320</v>
      </c>
    </row>
    <row r="589" spans="5:6" customFormat="1" x14ac:dyDescent="0.25">
      <c r="E589" s="4" t="s">
        <v>577</v>
      </c>
      <c r="F589" s="4" t="s">
        <v>1321</v>
      </c>
    </row>
    <row r="590" spans="5:6" customFormat="1" x14ac:dyDescent="0.25">
      <c r="E590" s="4" t="s">
        <v>578</v>
      </c>
      <c r="F590" s="4" t="s">
        <v>1322</v>
      </c>
    </row>
    <row r="591" spans="5:6" customFormat="1" x14ac:dyDescent="0.25">
      <c r="E591" s="4" t="s">
        <v>579</v>
      </c>
      <c r="F591" s="4" t="s">
        <v>1323</v>
      </c>
    </row>
    <row r="592" spans="5:6" customFormat="1" x14ac:dyDescent="0.25">
      <c r="E592" s="4" t="s">
        <v>580</v>
      </c>
      <c r="F592" s="4" t="s">
        <v>1324</v>
      </c>
    </row>
    <row r="593" spans="5:6" customFormat="1" x14ac:dyDescent="0.25">
      <c r="E593" s="4" t="s">
        <v>581</v>
      </c>
      <c r="F593" s="4" t="s">
        <v>1325</v>
      </c>
    </row>
    <row r="594" spans="5:6" customFormat="1" x14ac:dyDescent="0.25">
      <c r="E594" s="4" t="s">
        <v>582</v>
      </c>
      <c r="F594" s="4" t="s">
        <v>1326</v>
      </c>
    </row>
    <row r="595" spans="5:6" customFormat="1" x14ac:dyDescent="0.25">
      <c r="E595" s="4" t="s">
        <v>583</v>
      </c>
      <c r="F595" s="4" t="s">
        <v>1327</v>
      </c>
    </row>
    <row r="596" spans="5:6" customFormat="1" x14ac:dyDescent="0.25">
      <c r="E596" s="4" t="s">
        <v>584</v>
      </c>
      <c r="F596" s="4" t="s">
        <v>1328</v>
      </c>
    </row>
    <row r="597" spans="5:6" customFormat="1" x14ac:dyDescent="0.25">
      <c r="E597" s="4" t="s">
        <v>585</v>
      </c>
      <c r="F597" s="4" t="s">
        <v>1329</v>
      </c>
    </row>
    <row r="598" spans="5:6" customFormat="1" x14ac:dyDescent="0.25">
      <c r="E598" s="4" t="s">
        <v>586</v>
      </c>
      <c r="F598" s="4" t="s">
        <v>1330</v>
      </c>
    </row>
    <row r="599" spans="5:6" customFormat="1" x14ac:dyDescent="0.25">
      <c r="E599" s="4" t="s">
        <v>587</v>
      </c>
      <c r="F599" s="4" t="s">
        <v>1331</v>
      </c>
    </row>
    <row r="600" spans="5:6" customFormat="1" x14ac:dyDescent="0.25">
      <c r="E600" s="4" t="s">
        <v>588</v>
      </c>
      <c r="F600" s="4" t="s">
        <v>1332</v>
      </c>
    </row>
    <row r="601" spans="5:6" customFormat="1" x14ac:dyDescent="0.25">
      <c r="E601" s="4" t="s">
        <v>589</v>
      </c>
      <c r="F601" s="4" t="s">
        <v>1333</v>
      </c>
    </row>
    <row r="602" spans="5:6" customFormat="1" x14ac:dyDescent="0.25">
      <c r="E602" s="4" t="s">
        <v>590</v>
      </c>
      <c r="F602" s="4" t="s">
        <v>1334</v>
      </c>
    </row>
    <row r="603" spans="5:6" customFormat="1" x14ac:dyDescent="0.25">
      <c r="E603" s="4" t="s">
        <v>591</v>
      </c>
      <c r="F603" s="4" t="s">
        <v>1335</v>
      </c>
    </row>
    <row r="604" spans="5:6" customFormat="1" x14ac:dyDescent="0.25">
      <c r="E604" s="4" t="s">
        <v>592</v>
      </c>
      <c r="F604" s="4" t="s">
        <v>1336</v>
      </c>
    </row>
    <row r="605" spans="5:6" customFormat="1" x14ac:dyDescent="0.25">
      <c r="E605" s="4" t="s">
        <v>593</v>
      </c>
      <c r="F605" s="4" t="s">
        <v>1337</v>
      </c>
    </row>
    <row r="606" spans="5:6" customFormat="1" x14ac:dyDescent="0.25">
      <c r="E606" s="4" t="s">
        <v>594</v>
      </c>
      <c r="F606" s="4" t="s">
        <v>1338</v>
      </c>
    </row>
    <row r="607" spans="5:6" customFormat="1" x14ac:dyDescent="0.25">
      <c r="E607" s="4" t="s">
        <v>595</v>
      </c>
      <c r="F607" s="4" t="s">
        <v>1339</v>
      </c>
    </row>
    <row r="608" spans="5:6" customFormat="1" x14ac:dyDescent="0.25">
      <c r="E608" s="4" t="s">
        <v>596</v>
      </c>
      <c r="F608" s="4" t="s">
        <v>1340</v>
      </c>
    </row>
    <row r="609" spans="5:6" customFormat="1" x14ac:dyDescent="0.25">
      <c r="E609" s="4" t="s">
        <v>597</v>
      </c>
      <c r="F609" s="4" t="s">
        <v>1341</v>
      </c>
    </row>
    <row r="610" spans="5:6" customFormat="1" x14ac:dyDescent="0.25">
      <c r="E610" s="4" t="s">
        <v>598</v>
      </c>
      <c r="F610" s="4" t="s">
        <v>1342</v>
      </c>
    </row>
    <row r="611" spans="5:6" customFormat="1" x14ac:dyDescent="0.25">
      <c r="E611" s="4" t="s">
        <v>599</v>
      </c>
      <c r="F611" s="4" t="s">
        <v>1343</v>
      </c>
    </row>
    <row r="612" spans="5:6" customFormat="1" x14ac:dyDescent="0.25">
      <c r="E612" s="4" t="s">
        <v>600</v>
      </c>
      <c r="F612" s="4" t="s">
        <v>1344</v>
      </c>
    </row>
    <row r="613" spans="5:6" customFormat="1" x14ac:dyDescent="0.25">
      <c r="E613" s="4" t="s">
        <v>601</v>
      </c>
      <c r="F613" s="4" t="s">
        <v>1345</v>
      </c>
    </row>
    <row r="614" spans="5:6" customFormat="1" x14ac:dyDescent="0.25">
      <c r="E614" s="4" t="s">
        <v>602</v>
      </c>
      <c r="F614" s="4" t="s">
        <v>1346</v>
      </c>
    </row>
    <row r="615" spans="5:6" customFormat="1" x14ac:dyDescent="0.25">
      <c r="E615" s="4" t="s">
        <v>603</v>
      </c>
      <c r="F615" s="4" t="s">
        <v>1347</v>
      </c>
    </row>
    <row r="616" spans="5:6" customFormat="1" x14ac:dyDescent="0.25">
      <c r="E616" s="4" t="s">
        <v>604</v>
      </c>
      <c r="F616" s="4" t="s">
        <v>1348</v>
      </c>
    </row>
    <row r="617" spans="5:6" customFormat="1" x14ac:dyDescent="0.25">
      <c r="E617" s="4" t="s">
        <v>605</v>
      </c>
      <c r="F617" s="4" t="s">
        <v>1349</v>
      </c>
    </row>
    <row r="618" spans="5:6" customFormat="1" x14ac:dyDescent="0.25">
      <c r="E618" s="4" t="s">
        <v>606</v>
      </c>
      <c r="F618" s="4" t="s">
        <v>1350</v>
      </c>
    </row>
    <row r="619" spans="5:6" customFormat="1" x14ac:dyDescent="0.25">
      <c r="E619" s="4" t="s">
        <v>607</v>
      </c>
      <c r="F619" s="4" t="s">
        <v>1351</v>
      </c>
    </row>
    <row r="620" spans="5:6" customFormat="1" x14ac:dyDescent="0.25">
      <c r="E620" s="4" t="s">
        <v>608</v>
      </c>
      <c r="F620" s="4" t="s">
        <v>1354</v>
      </c>
    </row>
    <row r="621" spans="5:6" customFormat="1" x14ac:dyDescent="0.25">
      <c r="E621" s="4" t="s">
        <v>609</v>
      </c>
      <c r="F621" s="4" t="s">
        <v>1355</v>
      </c>
    </row>
    <row r="622" spans="5:6" customFormat="1" x14ac:dyDescent="0.25">
      <c r="E622" s="4" t="s">
        <v>610</v>
      </c>
      <c r="F622" s="4" t="s">
        <v>1356</v>
      </c>
    </row>
    <row r="623" spans="5:6" customFormat="1" x14ac:dyDescent="0.25">
      <c r="E623" s="4" t="s">
        <v>611</v>
      </c>
      <c r="F623" s="4" t="s">
        <v>1357</v>
      </c>
    </row>
    <row r="624" spans="5:6" customFormat="1" x14ac:dyDescent="0.25">
      <c r="E624" s="4" t="s">
        <v>612</v>
      </c>
      <c r="F624" s="4" t="s">
        <v>1358</v>
      </c>
    </row>
    <row r="625" spans="5:6" customFormat="1" x14ac:dyDescent="0.25">
      <c r="E625" s="4" t="s">
        <v>613</v>
      </c>
      <c r="F625" s="4" t="s">
        <v>1359</v>
      </c>
    </row>
    <row r="626" spans="5:6" customFormat="1" x14ac:dyDescent="0.25">
      <c r="E626" s="4" t="s">
        <v>614</v>
      </c>
      <c r="F626" s="4" t="s">
        <v>1360</v>
      </c>
    </row>
    <row r="627" spans="5:6" customFormat="1" x14ac:dyDescent="0.25">
      <c r="E627" s="4" t="s">
        <v>615</v>
      </c>
      <c r="F627" s="4" t="s">
        <v>1361</v>
      </c>
    </row>
    <row r="628" spans="5:6" customFormat="1" x14ac:dyDescent="0.25">
      <c r="E628" s="4" t="s">
        <v>616</v>
      </c>
      <c r="F628" s="4" t="s">
        <v>1362</v>
      </c>
    </row>
    <row r="629" spans="5:6" customFormat="1" x14ac:dyDescent="0.25">
      <c r="E629" s="4" t="s">
        <v>617</v>
      </c>
      <c r="F629" s="4" t="s">
        <v>1363</v>
      </c>
    </row>
    <row r="630" spans="5:6" customFormat="1" x14ac:dyDescent="0.25">
      <c r="E630" s="4" t="s">
        <v>618</v>
      </c>
      <c r="F630" s="4" t="s">
        <v>1364</v>
      </c>
    </row>
    <row r="631" spans="5:6" customFormat="1" x14ac:dyDescent="0.25">
      <c r="E631" s="4" t="s">
        <v>619</v>
      </c>
      <c r="F631" s="4" t="s">
        <v>1365</v>
      </c>
    </row>
    <row r="632" spans="5:6" customFormat="1" x14ac:dyDescent="0.25">
      <c r="E632" s="4" t="s">
        <v>620</v>
      </c>
      <c r="F632" s="4" t="s">
        <v>1366</v>
      </c>
    </row>
    <row r="633" spans="5:6" customFormat="1" x14ac:dyDescent="0.25">
      <c r="E633" s="4" t="s">
        <v>621</v>
      </c>
      <c r="F633" s="4" t="s">
        <v>1367</v>
      </c>
    </row>
    <row r="634" spans="5:6" customFormat="1" x14ac:dyDescent="0.25">
      <c r="E634" s="4" t="s">
        <v>622</v>
      </c>
      <c r="F634" s="4" t="s">
        <v>1368</v>
      </c>
    </row>
    <row r="635" spans="5:6" customFormat="1" x14ac:dyDescent="0.25">
      <c r="E635" s="4" t="s">
        <v>623</v>
      </c>
      <c r="F635" s="4" t="s">
        <v>1369</v>
      </c>
    </row>
    <row r="636" spans="5:6" customFormat="1" x14ac:dyDescent="0.25">
      <c r="E636" s="4" t="s">
        <v>624</v>
      </c>
      <c r="F636" s="4" t="s">
        <v>1370</v>
      </c>
    </row>
    <row r="637" spans="5:6" customFormat="1" x14ac:dyDescent="0.25">
      <c r="E637" s="4" t="s">
        <v>625</v>
      </c>
      <c r="F637" s="4" t="s">
        <v>1371</v>
      </c>
    </row>
    <row r="638" spans="5:6" customFormat="1" x14ac:dyDescent="0.25">
      <c r="E638" s="4" t="s">
        <v>626</v>
      </c>
      <c r="F638" s="4" t="s">
        <v>1372</v>
      </c>
    </row>
    <row r="639" spans="5:6" customFormat="1" x14ac:dyDescent="0.25">
      <c r="E639" s="4" t="s">
        <v>627</v>
      </c>
      <c r="F639" s="4" t="s">
        <v>1373</v>
      </c>
    </row>
    <row r="640" spans="5:6" customFormat="1" x14ac:dyDescent="0.25">
      <c r="E640" s="4" t="s">
        <v>628</v>
      </c>
      <c r="F640" s="4" t="s">
        <v>1374</v>
      </c>
    </row>
    <row r="641" spans="5:6" customFormat="1" x14ac:dyDescent="0.25">
      <c r="E641" s="4" t="s">
        <v>629</v>
      </c>
      <c r="F641" s="4" t="s">
        <v>1375</v>
      </c>
    </row>
    <row r="642" spans="5:6" customFormat="1" x14ac:dyDescent="0.25">
      <c r="E642" s="4" t="s">
        <v>630</v>
      </c>
      <c r="F642" s="4" t="s">
        <v>1376</v>
      </c>
    </row>
    <row r="643" spans="5:6" customFormat="1" x14ac:dyDescent="0.25">
      <c r="E643" s="4" t="s">
        <v>631</v>
      </c>
      <c r="F643" s="4" t="s">
        <v>1377</v>
      </c>
    </row>
    <row r="644" spans="5:6" customFormat="1" x14ac:dyDescent="0.25">
      <c r="E644" s="4" t="s">
        <v>632</v>
      </c>
      <c r="F644" s="4" t="s">
        <v>1378</v>
      </c>
    </row>
    <row r="645" spans="5:6" customFormat="1" x14ac:dyDescent="0.25">
      <c r="E645" s="4" t="s">
        <v>633</v>
      </c>
      <c r="F645" s="4" t="s">
        <v>1379</v>
      </c>
    </row>
    <row r="646" spans="5:6" customFormat="1" x14ac:dyDescent="0.25">
      <c r="E646" s="4" t="s">
        <v>634</v>
      </c>
      <c r="F646" s="4" t="s">
        <v>1380</v>
      </c>
    </row>
    <row r="647" spans="5:6" customFormat="1" x14ac:dyDescent="0.25">
      <c r="E647" s="4" t="s">
        <v>635</v>
      </c>
      <c r="F647" s="4" t="s">
        <v>1381</v>
      </c>
    </row>
    <row r="648" spans="5:6" customFormat="1" x14ac:dyDescent="0.25">
      <c r="E648" s="4" t="s">
        <v>636</v>
      </c>
      <c r="F648" s="4" t="s">
        <v>1382</v>
      </c>
    </row>
    <row r="649" spans="5:6" customFormat="1" x14ac:dyDescent="0.25">
      <c r="E649" s="4" t="s">
        <v>637</v>
      </c>
      <c r="F649" s="4" t="s">
        <v>1383</v>
      </c>
    </row>
    <row r="650" spans="5:6" customFormat="1" x14ac:dyDescent="0.25">
      <c r="E650" s="4" t="s">
        <v>638</v>
      </c>
      <c r="F650" s="4" t="s">
        <v>1384</v>
      </c>
    </row>
    <row r="651" spans="5:6" customFormat="1" x14ac:dyDescent="0.25">
      <c r="E651" s="4" t="s">
        <v>639</v>
      </c>
      <c r="F651" s="4" t="s">
        <v>1385</v>
      </c>
    </row>
    <row r="652" spans="5:6" customFormat="1" x14ac:dyDescent="0.25">
      <c r="E652" s="4" t="s">
        <v>640</v>
      </c>
      <c r="F652" s="4" t="s">
        <v>1386</v>
      </c>
    </row>
    <row r="653" spans="5:6" customFormat="1" x14ac:dyDescent="0.25">
      <c r="E653" s="4" t="s">
        <v>641</v>
      </c>
      <c r="F653" s="4" t="s">
        <v>1387</v>
      </c>
    </row>
    <row r="654" spans="5:6" customFormat="1" x14ac:dyDescent="0.25">
      <c r="E654" s="4" t="s">
        <v>642</v>
      </c>
      <c r="F654" s="4" t="s">
        <v>1388</v>
      </c>
    </row>
    <row r="655" spans="5:6" customFormat="1" x14ac:dyDescent="0.25">
      <c r="E655" s="4" t="s">
        <v>643</v>
      </c>
      <c r="F655" s="4" t="s">
        <v>1389</v>
      </c>
    </row>
    <row r="656" spans="5:6" customFormat="1" x14ac:dyDescent="0.25">
      <c r="E656" s="4" t="s">
        <v>644</v>
      </c>
      <c r="F656" s="4" t="s">
        <v>1390</v>
      </c>
    </row>
    <row r="657" spans="5:6" customFormat="1" x14ac:dyDescent="0.25">
      <c r="E657" s="4" t="s">
        <v>645</v>
      </c>
      <c r="F657" s="4" t="s">
        <v>1391</v>
      </c>
    </row>
    <row r="658" spans="5:6" customFormat="1" x14ac:dyDescent="0.25">
      <c r="E658" s="4" t="s">
        <v>646</v>
      </c>
      <c r="F658" s="4" t="s">
        <v>1392</v>
      </c>
    </row>
    <row r="659" spans="5:6" customFormat="1" x14ac:dyDescent="0.25">
      <c r="E659" s="4" t="s">
        <v>647</v>
      </c>
      <c r="F659" s="4" t="s">
        <v>1393</v>
      </c>
    </row>
    <row r="660" spans="5:6" customFormat="1" x14ac:dyDescent="0.25">
      <c r="E660" s="4" t="s">
        <v>648</v>
      </c>
      <c r="F660" s="4" t="s">
        <v>1394</v>
      </c>
    </row>
    <row r="661" spans="5:6" customFormat="1" x14ac:dyDescent="0.25">
      <c r="E661" s="4" t="s">
        <v>649</v>
      </c>
      <c r="F661" s="4" t="s">
        <v>1395</v>
      </c>
    </row>
    <row r="662" spans="5:6" customFormat="1" x14ac:dyDescent="0.25">
      <c r="E662" s="4" t="s">
        <v>650</v>
      </c>
      <c r="F662" s="4" t="s">
        <v>1396</v>
      </c>
    </row>
    <row r="663" spans="5:6" customFormat="1" x14ac:dyDescent="0.25">
      <c r="E663" s="1" t="s">
        <v>651</v>
      </c>
      <c r="F663" s="4" t="s">
        <v>1397</v>
      </c>
    </row>
    <row r="664" spans="5:6" customFormat="1" x14ac:dyDescent="0.25">
      <c r="E664" s="4" t="s">
        <v>652</v>
      </c>
      <c r="F664" s="4" t="s">
        <v>1398</v>
      </c>
    </row>
    <row r="665" spans="5:6" customFormat="1" x14ac:dyDescent="0.25">
      <c r="E665" s="4" t="s">
        <v>653</v>
      </c>
      <c r="F665" s="4" t="s">
        <v>1399</v>
      </c>
    </row>
    <row r="666" spans="5:6" customFormat="1" x14ac:dyDescent="0.25">
      <c r="E666" s="4" t="s">
        <v>654</v>
      </c>
      <c r="F666" s="4" t="s">
        <v>1400</v>
      </c>
    </row>
    <row r="667" spans="5:6" customFormat="1" x14ac:dyDescent="0.25">
      <c r="E667" s="4" t="s">
        <v>655</v>
      </c>
      <c r="F667" s="4" t="s">
        <v>1401</v>
      </c>
    </row>
    <row r="668" spans="5:6" customFormat="1" x14ac:dyDescent="0.25">
      <c r="E668" s="4" t="s">
        <v>656</v>
      </c>
      <c r="F668" s="4" t="s">
        <v>1402</v>
      </c>
    </row>
    <row r="669" spans="5:6" customFormat="1" x14ac:dyDescent="0.25">
      <c r="E669" s="4" t="s">
        <v>657</v>
      </c>
      <c r="F669" s="4" t="s">
        <v>1403</v>
      </c>
    </row>
    <row r="670" spans="5:6" customFormat="1" x14ac:dyDescent="0.25">
      <c r="E670" s="4" t="s">
        <v>658</v>
      </c>
      <c r="F670" s="4" t="s">
        <v>1404</v>
      </c>
    </row>
    <row r="671" spans="5:6" customFormat="1" x14ac:dyDescent="0.25">
      <c r="E671" s="4" t="s">
        <v>659</v>
      </c>
      <c r="F671" s="4" t="s">
        <v>1405</v>
      </c>
    </row>
    <row r="672" spans="5:6" customFormat="1" x14ac:dyDescent="0.25">
      <c r="E672" s="4" t="s">
        <v>660</v>
      </c>
      <c r="F672" s="4" t="s">
        <v>1407</v>
      </c>
    </row>
    <row r="673" spans="5:6" customFormat="1" x14ac:dyDescent="0.25">
      <c r="E673" s="4" t="s">
        <v>661</v>
      </c>
      <c r="F673" s="4" t="s">
        <v>1408</v>
      </c>
    </row>
    <row r="674" spans="5:6" customFormat="1" x14ac:dyDescent="0.25">
      <c r="E674" s="4" t="s">
        <v>662</v>
      </c>
      <c r="F674" s="4" t="s">
        <v>1409</v>
      </c>
    </row>
    <row r="675" spans="5:6" customFormat="1" x14ac:dyDescent="0.25">
      <c r="E675" s="4" t="s">
        <v>663</v>
      </c>
      <c r="F675" s="4" t="s">
        <v>1410</v>
      </c>
    </row>
    <row r="676" spans="5:6" customFormat="1" x14ac:dyDescent="0.25">
      <c r="E676" s="4" t="s">
        <v>664</v>
      </c>
      <c r="F676" s="4" t="s">
        <v>1411</v>
      </c>
    </row>
    <row r="677" spans="5:6" customFormat="1" x14ac:dyDescent="0.25">
      <c r="E677" s="4" t="s">
        <v>639</v>
      </c>
      <c r="F677" s="4" t="s">
        <v>1412</v>
      </c>
    </row>
    <row r="678" spans="5:6" customFormat="1" x14ac:dyDescent="0.25">
      <c r="E678" s="4" t="s">
        <v>665</v>
      </c>
      <c r="F678" s="4" t="s">
        <v>1413</v>
      </c>
    </row>
    <row r="679" spans="5:6" customFormat="1" x14ac:dyDescent="0.25">
      <c r="E679" s="4" t="s">
        <v>666</v>
      </c>
      <c r="F679" s="4" t="s">
        <v>1414</v>
      </c>
    </row>
    <row r="680" spans="5:6" customFormat="1" x14ac:dyDescent="0.25">
      <c r="E680" s="4" t="s">
        <v>667</v>
      </c>
      <c r="F680" s="4" t="s">
        <v>1415</v>
      </c>
    </row>
    <row r="681" spans="5:6" customFormat="1" x14ac:dyDescent="0.25">
      <c r="E681" s="4" t="s">
        <v>668</v>
      </c>
      <c r="F681" s="4" t="s">
        <v>1416</v>
      </c>
    </row>
    <row r="682" spans="5:6" customFormat="1" x14ac:dyDescent="0.25">
      <c r="E682" s="4" t="s">
        <v>669</v>
      </c>
      <c r="F682" s="4" t="s">
        <v>1417</v>
      </c>
    </row>
    <row r="683" spans="5:6" customFormat="1" x14ac:dyDescent="0.25">
      <c r="E683" s="4" t="s">
        <v>670</v>
      </c>
      <c r="F683" s="4" t="s">
        <v>1418</v>
      </c>
    </row>
    <row r="684" spans="5:6" customFormat="1" x14ac:dyDescent="0.25">
      <c r="E684" s="4" t="s">
        <v>671</v>
      </c>
      <c r="F684" s="4" t="s">
        <v>1419</v>
      </c>
    </row>
    <row r="685" spans="5:6" customFormat="1" x14ac:dyDescent="0.25">
      <c r="E685" s="4" t="s">
        <v>672</v>
      </c>
      <c r="F685" s="4" t="s">
        <v>1420</v>
      </c>
    </row>
    <row r="686" spans="5:6" customFormat="1" x14ac:dyDescent="0.25">
      <c r="E686" s="4" t="s">
        <v>575</v>
      </c>
      <c r="F686" s="4" t="s">
        <v>1421</v>
      </c>
    </row>
    <row r="687" spans="5:6" customFormat="1" x14ac:dyDescent="0.25">
      <c r="E687" s="4" t="s">
        <v>673</v>
      </c>
      <c r="F687" s="4" t="s">
        <v>1422</v>
      </c>
    </row>
    <row r="688" spans="5:6" customFormat="1" x14ac:dyDescent="0.25">
      <c r="E688" s="4" t="s">
        <v>674</v>
      </c>
      <c r="F688" s="4" t="s">
        <v>1423</v>
      </c>
    </row>
    <row r="689" spans="5:6" customFormat="1" x14ac:dyDescent="0.25">
      <c r="E689" s="4" t="s">
        <v>675</v>
      </c>
      <c r="F689" s="4" t="s">
        <v>1424</v>
      </c>
    </row>
    <row r="690" spans="5:6" customFormat="1" x14ac:dyDescent="0.25">
      <c r="E690" s="4" t="s">
        <v>676</v>
      </c>
      <c r="F690" s="4" t="s">
        <v>1425</v>
      </c>
    </row>
    <row r="691" spans="5:6" customFormat="1" x14ac:dyDescent="0.25">
      <c r="E691" s="4" t="s">
        <v>677</v>
      </c>
      <c r="F691" s="4" t="s">
        <v>1426</v>
      </c>
    </row>
    <row r="692" spans="5:6" customFormat="1" x14ac:dyDescent="0.25">
      <c r="E692" s="4" t="s">
        <v>678</v>
      </c>
      <c r="F692" s="4" t="s">
        <v>1427</v>
      </c>
    </row>
    <row r="693" spans="5:6" customFormat="1" x14ac:dyDescent="0.25">
      <c r="E693" s="4" t="s">
        <v>679</v>
      </c>
      <c r="F693" s="4" t="s">
        <v>1428</v>
      </c>
    </row>
    <row r="694" spans="5:6" customFormat="1" x14ac:dyDescent="0.25">
      <c r="E694" s="4" t="s">
        <v>680</v>
      </c>
      <c r="F694" s="4" t="s">
        <v>1429</v>
      </c>
    </row>
    <row r="695" spans="5:6" customFormat="1" x14ac:dyDescent="0.25">
      <c r="E695" s="4" t="s">
        <v>681</v>
      </c>
      <c r="F695" s="4" t="s">
        <v>1430</v>
      </c>
    </row>
    <row r="696" spans="5:6" customFormat="1" x14ac:dyDescent="0.25">
      <c r="E696" s="4" t="s">
        <v>682</v>
      </c>
      <c r="F696" s="4" t="s">
        <v>1433</v>
      </c>
    </row>
    <row r="697" spans="5:6" customFormat="1" x14ac:dyDescent="0.25">
      <c r="E697" s="4" t="s">
        <v>683</v>
      </c>
      <c r="F697" s="4" t="s">
        <v>1434</v>
      </c>
    </row>
    <row r="698" spans="5:6" customFormat="1" x14ac:dyDescent="0.25">
      <c r="E698" s="4" t="s">
        <v>684</v>
      </c>
      <c r="F698" s="4" t="s">
        <v>1435</v>
      </c>
    </row>
    <row r="699" spans="5:6" customFormat="1" x14ac:dyDescent="0.25">
      <c r="E699" s="4" t="s">
        <v>685</v>
      </c>
      <c r="F699" s="4" t="s">
        <v>1436</v>
      </c>
    </row>
    <row r="700" spans="5:6" customFormat="1" x14ac:dyDescent="0.25">
      <c r="E700" s="4" t="s">
        <v>686</v>
      </c>
      <c r="F700" s="4" t="s">
        <v>1437</v>
      </c>
    </row>
    <row r="701" spans="5:6" customFormat="1" x14ac:dyDescent="0.25">
      <c r="E701" s="4" t="s">
        <v>687</v>
      </c>
      <c r="F701" s="4" t="s">
        <v>1438</v>
      </c>
    </row>
    <row r="702" spans="5:6" customFormat="1" x14ac:dyDescent="0.25">
      <c r="E702" s="4" t="s">
        <v>688</v>
      </c>
      <c r="F702" s="4" t="s">
        <v>1439</v>
      </c>
    </row>
    <row r="703" spans="5:6" customFormat="1" x14ac:dyDescent="0.25">
      <c r="E703" s="4" t="s">
        <v>689</v>
      </c>
      <c r="F703" s="4" t="s">
        <v>1440</v>
      </c>
    </row>
    <row r="704" spans="5:6" customFormat="1" x14ac:dyDescent="0.25">
      <c r="E704" s="4" t="s">
        <v>690</v>
      </c>
      <c r="F704" s="4" t="s">
        <v>1441</v>
      </c>
    </row>
    <row r="705" spans="5:6" customFormat="1" x14ac:dyDescent="0.25">
      <c r="E705" s="4" t="s">
        <v>691</v>
      </c>
      <c r="F705" s="4" t="s">
        <v>1442</v>
      </c>
    </row>
    <row r="706" spans="5:6" customFormat="1" x14ac:dyDescent="0.25">
      <c r="E706" s="4" t="s">
        <v>692</v>
      </c>
      <c r="F706" s="4" t="s">
        <v>1443</v>
      </c>
    </row>
  </sheetData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F33"/>
  <sheetViews>
    <sheetView topLeftCell="B3" workbookViewId="0">
      <selection activeCell="V42" sqref="V42"/>
    </sheetView>
  </sheetViews>
  <sheetFormatPr baseColWidth="10" defaultColWidth="9.140625" defaultRowHeight="15" x14ac:dyDescent="0.25"/>
  <cols>
    <col min="1" max="1" width="22.28515625" customWidth="1"/>
    <col min="2" max="2" width="19.42578125" bestFit="1" customWidth="1"/>
    <col min="3" max="3" width="18.5703125" customWidth="1"/>
    <col min="4" max="4" width="19.5703125" bestFit="1" customWidth="1"/>
    <col min="5" max="5" width="18.7109375" bestFit="1" customWidth="1"/>
    <col min="6" max="6" width="7" bestFit="1" customWidth="1"/>
    <col min="7" max="20" width="3" customWidth="1"/>
    <col min="21" max="36" width="4" customWidth="1"/>
    <col min="37" max="40" width="5" customWidth="1"/>
    <col min="41" max="41" width="7.28515625" customWidth="1"/>
    <col min="42" max="42" width="11.28515625" customWidth="1"/>
    <col min="43" max="43" width="8.85546875" customWidth="1"/>
    <col min="44" max="44" width="5.85546875" customWidth="1"/>
    <col min="45" max="45" width="8.85546875" customWidth="1"/>
    <col min="46" max="46" width="5.85546875" customWidth="1"/>
    <col min="47" max="47" width="8.85546875" customWidth="1"/>
    <col min="48" max="48" width="5.85546875" customWidth="1"/>
    <col min="49" max="49" width="8.85546875" customWidth="1"/>
    <col min="50" max="50" width="5.85546875" customWidth="1"/>
    <col min="51" max="51" width="8.85546875" customWidth="1"/>
    <col min="52" max="52" width="5.85546875" customWidth="1"/>
    <col min="53" max="53" width="8.85546875" customWidth="1"/>
    <col min="54" max="54" width="5.85546875" customWidth="1"/>
    <col min="55" max="55" width="8.85546875" customWidth="1"/>
    <col min="56" max="56" width="5.85546875" customWidth="1"/>
    <col min="57" max="57" width="8.85546875" customWidth="1"/>
    <col min="58" max="58" width="5.85546875" customWidth="1"/>
    <col min="59" max="59" width="8.85546875" customWidth="1"/>
    <col min="60" max="60" width="5.85546875" customWidth="1"/>
    <col min="61" max="61" width="8.85546875" customWidth="1"/>
    <col min="62" max="62" width="5.85546875" customWidth="1"/>
    <col min="63" max="63" width="8.85546875" customWidth="1"/>
    <col min="64" max="64" width="5.85546875" customWidth="1"/>
    <col min="65" max="65" width="8.85546875" customWidth="1"/>
    <col min="66" max="66" width="5.85546875" customWidth="1"/>
    <col min="67" max="67" width="8.85546875" customWidth="1"/>
    <col min="68" max="68" width="5.85546875" customWidth="1"/>
    <col min="69" max="69" width="8.85546875" customWidth="1"/>
    <col min="70" max="70" width="5.85546875" customWidth="1"/>
    <col min="71" max="71" width="8.85546875" customWidth="1"/>
    <col min="72" max="72" width="5.85546875" customWidth="1"/>
    <col min="73" max="73" width="8.85546875" customWidth="1"/>
    <col min="74" max="74" width="6.85546875" customWidth="1"/>
    <col min="75" max="75" width="9.85546875" bestFit="1" customWidth="1"/>
    <col min="76" max="76" width="6.85546875" customWidth="1"/>
    <col min="77" max="77" width="9.85546875" bestFit="1" customWidth="1"/>
    <col min="78" max="78" width="6.85546875" customWidth="1"/>
    <col min="79" max="79" width="9.85546875" bestFit="1" customWidth="1"/>
    <col min="80" max="80" width="6.85546875" customWidth="1"/>
    <col min="81" max="81" width="9.85546875" bestFit="1" customWidth="1"/>
    <col min="83" max="83" width="4" customWidth="1"/>
    <col min="84" max="85" width="5" customWidth="1"/>
    <col min="86" max="86" width="7.28515625" customWidth="1"/>
    <col min="87" max="87" width="12.140625" bestFit="1" customWidth="1"/>
    <col min="88" max="88" width="11.28515625" bestFit="1" customWidth="1"/>
  </cols>
  <sheetData>
    <row r="1" spans="1:4" x14ac:dyDescent="0.25">
      <c r="A1" s="246" t="s">
        <v>1722</v>
      </c>
      <c r="B1" s="247"/>
      <c r="C1" s="248"/>
    </row>
    <row r="2" spans="1:4" ht="15.75" thickBot="1" x14ac:dyDescent="0.3">
      <c r="A2" s="249"/>
      <c r="B2" s="250"/>
      <c r="C2" s="251"/>
    </row>
    <row r="4" spans="1:4" ht="15" hidden="1" customHeight="1" x14ac:dyDescent="0.25">
      <c r="A4" s="275" t="s">
        <v>1773</v>
      </c>
      <c r="B4" s="275"/>
      <c r="C4" s="275"/>
      <c r="D4" s="275"/>
    </row>
    <row r="5" spans="1:4" ht="15" hidden="1" customHeight="1" x14ac:dyDescent="0.25">
      <c r="A5" s="276" t="s">
        <v>1772</v>
      </c>
      <c r="B5" s="276"/>
      <c r="C5" s="144"/>
      <c r="D5" s="145"/>
    </row>
    <row r="6" spans="1:4" ht="15" hidden="1" customHeight="1" x14ac:dyDescent="0.25">
      <c r="A6" s="147"/>
    </row>
    <row r="7" spans="1:4" ht="15" hidden="1" customHeight="1" x14ac:dyDescent="0.25">
      <c r="B7" s="94" t="s">
        <v>1747</v>
      </c>
    </row>
    <row r="8" spans="1:4" ht="15" hidden="1" customHeight="1" x14ac:dyDescent="0.25">
      <c r="A8" s="94" t="s">
        <v>1743</v>
      </c>
      <c r="B8" t="s">
        <v>1757</v>
      </c>
      <c r="C8" t="s">
        <v>1756</v>
      </c>
    </row>
    <row r="9" spans="1:4" ht="15" hidden="1" customHeight="1" x14ac:dyDescent="0.25">
      <c r="A9" s="95" t="s">
        <v>1464</v>
      </c>
      <c r="B9" s="96">
        <v>9010</v>
      </c>
      <c r="C9" s="96">
        <v>64509</v>
      </c>
    </row>
    <row r="10" spans="1:4" ht="15" hidden="1" customHeight="1" x14ac:dyDescent="0.25">
      <c r="A10" s="95" t="s">
        <v>693</v>
      </c>
      <c r="B10" s="96">
        <v>1087</v>
      </c>
      <c r="C10" s="96">
        <v>7749</v>
      </c>
    </row>
    <row r="11" spans="1:4" ht="15" hidden="1" customHeight="1" x14ac:dyDescent="0.25">
      <c r="A11" s="95" t="s">
        <v>698</v>
      </c>
      <c r="B11" s="96">
        <v>1375</v>
      </c>
      <c r="C11" s="96">
        <v>8325</v>
      </c>
    </row>
    <row r="12" spans="1:4" ht="15" hidden="1" customHeight="1" x14ac:dyDescent="0.25">
      <c r="A12" s="95" t="s">
        <v>694</v>
      </c>
      <c r="B12" s="96">
        <v>99</v>
      </c>
      <c r="C12" s="96">
        <v>594</v>
      </c>
    </row>
    <row r="13" spans="1:4" ht="15" hidden="1" customHeight="1" x14ac:dyDescent="0.25">
      <c r="A13" s="95" t="s">
        <v>699</v>
      </c>
      <c r="B13" s="96">
        <v>411</v>
      </c>
      <c r="C13" s="96">
        <v>2577</v>
      </c>
    </row>
    <row r="14" spans="1:4" ht="15" hidden="1" customHeight="1" x14ac:dyDescent="0.25">
      <c r="A14" s="95" t="s">
        <v>1463</v>
      </c>
      <c r="B14" s="96">
        <v>291</v>
      </c>
      <c r="C14" s="96">
        <v>834</v>
      </c>
    </row>
    <row r="15" spans="1:4" ht="15" hidden="1" customHeight="1" x14ac:dyDescent="0.25">
      <c r="A15" s="95" t="s">
        <v>696</v>
      </c>
      <c r="B15" s="96">
        <v>852</v>
      </c>
      <c r="C15" s="96">
        <v>5112</v>
      </c>
    </row>
    <row r="16" spans="1:4" ht="15" hidden="1" customHeight="1" x14ac:dyDescent="0.25">
      <c r="A16" s="95" t="s">
        <v>695</v>
      </c>
      <c r="B16" s="96">
        <v>159</v>
      </c>
      <c r="C16" s="96">
        <v>954</v>
      </c>
    </row>
    <row r="17" spans="1:6" ht="15" hidden="1" customHeight="1" x14ac:dyDescent="0.25">
      <c r="A17" s="95" t="s">
        <v>697</v>
      </c>
      <c r="B17" s="96">
        <v>1500</v>
      </c>
      <c r="C17" s="96">
        <v>9000</v>
      </c>
    </row>
    <row r="18" spans="1:6" ht="15" hidden="1" customHeight="1" x14ac:dyDescent="0.25">
      <c r="A18" s="95" t="s">
        <v>1745</v>
      </c>
      <c r="B18" s="96">
        <v>14784</v>
      </c>
      <c r="C18" s="96">
        <v>99654</v>
      </c>
    </row>
    <row r="19" spans="1:6" ht="15" customHeight="1" x14ac:dyDescent="0.25"/>
    <row r="20" spans="1:6" x14ac:dyDescent="0.25">
      <c r="A20" s="275" t="s">
        <v>1773</v>
      </c>
      <c r="B20" s="275"/>
      <c r="C20" s="275"/>
      <c r="D20" s="275"/>
    </row>
    <row r="21" spans="1:6" x14ac:dyDescent="0.25">
      <c r="A21" s="276" t="s">
        <v>1772</v>
      </c>
      <c r="B21" s="276"/>
    </row>
    <row r="22" spans="1:6" x14ac:dyDescent="0.25">
      <c r="A22" s="148"/>
      <c r="B22" s="148"/>
    </row>
    <row r="23" spans="1:6" x14ac:dyDescent="0.25">
      <c r="A23" s="197" t="s">
        <v>1741</v>
      </c>
      <c r="B23" s="205" t="s">
        <v>1811</v>
      </c>
      <c r="C23" s="170" t="s">
        <v>1810</v>
      </c>
      <c r="D23" s="196" t="s">
        <v>1808</v>
      </c>
      <c r="E23" s="221" t="s">
        <v>1809</v>
      </c>
      <c r="F23" s="199" t="s">
        <v>1760</v>
      </c>
    </row>
    <row r="24" spans="1:6" x14ac:dyDescent="0.25">
      <c r="A24" s="198" t="s">
        <v>1464</v>
      </c>
      <c r="B24" s="201">
        <f>GETPIVOTDATA("Sum of #  Familles",$A$7,"REGION"," Région de  Mopti")</f>
        <v>9010</v>
      </c>
      <c r="C24" s="201">
        <f>GETPIVOTDATA("Sum of # Personnes",$C$9,"REGION"," Région de  Mopti")</f>
        <v>64509</v>
      </c>
      <c r="D24" s="201">
        <f>VLOOKUP(A24,Control!D15:F15,2,FALSE)</f>
        <v>6162</v>
      </c>
      <c r="E24" s="203">
        <f>VLOOKUP(A24,Control!D15:F15,3,FALSE)</f>
        <v>40056</v>
      </c>
      <c r="F24" s="233"/>
    </row>
    <row r="25" spans="1:6" x14ac:dyDescent="0.25">
      <c r="A25" s="198" t="s">
        <v>693</v>
      </c>
      <c r="B25" s="201">
        <f>GETPIVOTDATA("Sum of #  Familles",$A$7,"REGION"," Région de Bamako")</f>
        <v>1087</v>
      </c>
      <c r="C25" s="201">
        <f>GETPIVOTDATA("Sum of # Personnes",$A$7,"REGION"," Région de Bamako")</f>
        <v>7749</v>
      </c>
      <c r="D25" s="201">
        <f>VLOOKUP(A25,Control!D2:F8,2,FALSE)</f>
        <v>6528</v>
      </c>
      <c r="E25" s="203">
        <f>VLOOKUP('Analyse Région-Bénéficiaires.'!A25,Control!D2:F8,3,FALSE)</f>
        <v>51085</v>
      </c>
      <c r="F25" s="202">
        <f t="shared" ref="F25:F33" si="0">E25-C25</f>
        <v>43336</v>
      </c>
    </row>
    <row r="26" spans="1:6" x14ac:dyDescent="0.25">
      <c r="A26" s="198" t="s">
        <v>698</v>
      </c>
      <c r="B26" s="201">
        <f>GETPIVOTDATA("Sum of #  Familles",$A$7,"REGION"," Région de Gao")</f>
        <v>1375</v>
      </c>
      <c r="C26" s="201">
        <f>GETPIVOTDATA("Sum of # Personnes",$A$7,"REGION"," Région de Gao")</f>
        <v>8325</v>
      </c>
      <c r="D26" s="201">
        <f>VLOOKUP(A26,Control!D17:F17,2,FALSE)</f>
        <v>3255</v>
      </c>
      <c r="E26" s="203">
        <f>VLOOKUP(A26,Control!D17:F17,3,FALSE)</f>
        <v>26920</v>
      </c>
      <c r="F26" s="202">
        <f t="shared" si="0"/>
        <v>18595</v>
      </c>
    </row>
    <row r="27" spans="1:6" x14ac:dyDescent="0.25">
      <c r="A27" s="198" t="s">
        <v>694</v>
      </c>
      <c r="B27" s="201">
        <f>GETPIVOTDATA("Sum of #  Familles",$A$7,"REGION"," Région de Kayes")</f>
        <v>99</v>
      </c>
      <c r="C27" s="201">
        <f>GETPIVOTDATA("Sum of # Personnes",$A$7,"REGION"," Région de Kayes")</f>
        <v>594</v>
      </c>
      <c r="D27" s="201">
        <f>VLOOKUP(A27,Control!D9:F9,2,FALSE)</f>
        <v>345</v>
      </c>
      <c r="E27" s="203">
        <f>VLOOKUP(A27,Control!D9:F9,3,FALSE)</f>
        <v>2240</v>
      </c>
      <c r="F27" s="202">
        <f t="shared" si="0"/>
        <v>1646</v>
      </c>
    </row>
    <row r="28" spans="1:6" x14ac:dyDescent="0.25">
      <c r="A28" s="198" t="s">
        <v>699</v>
      </c>
      <c r="B28" s="201">
        <f>GETPIVOTDATA("Sum of #  Familles",$A$7,"REGION"," Région de Kidal")</f>
        <v>411</v>
      </c>
      <c r="C28" s="201">
        <f>GETPIVOTDATA("Sum of # Personnes",$A$7,"REGION"," Région de Kidal")</f>
        <v>2577</v>
      </c>
      <c r="D28" s="201">
        <f>VLOOKUP(A28,Control!D18:F18,2,)</f>
        <v>5729</v>
      </c>
      <c r="E28" s="203">
        <f>VLOOKUP(A28,Control!D18:F18,3,)</f>
        <v>28645</v>
      </c>
      <c r="F28" s="202">
        <f t="shared" si="0"/>
        <v>26068</v>
      </c>
    </row>
    <row r="29" spans="1:6" x14ac:dyDescent="0.25">
      <c r="A29" s="198" t="s">
        <v>1463</v>
      </c>
      <c r="B29" s="201">
        <f>GETPIVOTDATA("Sum of #  Familles",$A$7,"REGION"," Région de Koulikoro")</f>
        <v>291</v>
      </c>
      <c r="C29" s="201">
        <f>GETPIVOTDATA("Sum of # Personnes",$A$7,"REGION"," Région de Koulikoro")</f>
        <v>834</v>
      </c>
      <c r="D29" s="201">
        <f>VLOOKUP(A29,Control!D10:F10,2,FALSE)</f>
        <v>2011</v>
      </c>
      <c r="E29" s="203">
        <f>VLOOKUP(A29,Control!D10:F10,3,FALSE)</f>
        <v>15870</v>
      </c>
      <c r="F29" s="202">
        <f t="shared" si="0"/>
        <v>15036</v>
      </c>
    </row>
    <row r="30" spans="1:6" x14ac:dyDescent="0.25">
      <c r="A30" s="198" t="s">
        <v>696</v>
      </c>
      <c r="B30" s="201">
        <f>GETPIVOTDATA("Sum of #  Familles",$A$7,"REGION"," Région de Ségou")</f>
        <v>852</v>
      </c>
      <c r="C30" s="201">
        <f>GETPIVOTDATA("Sum of # Personnes",$A$7,"REGION"," Région de Ségou")</f>
        <v>5112</v>
      </c>
      <c r="D30" s="201">
        <f>VLOOKUP(A30,Control!D14:F14,2,FALSE)</f>
        <v>4555</v>
      </c>
      <c r="E30" s="203">
        <f>VLOOKUP(A30,Control!D14:F14,3,FALSE)</f>
        <v>29606</v>
      </c>
      <c r="F30" s="202">
        <f t="shared" si="0"/>
        <v>24494</v>
      </c>
    </row>
    <row r="31" spans="1:6" x14ac:dyDescent="0.25">
      <c r="A31" s="198" t="s">
        <v>695</v>
      </c>
      <c r="B31" s="201">
        <f>GETPIVOTDATA("Sum of #  Familles",$A$7,"REGION"," Région de Sikasso")</f>
        <v>159</v>
      </c>
      <c r="C31" s="201">
        <f>GETPIVOTDATA("Sum of # Personnes",$A$7,"REGION"," Région de Sikasso")</f>
        <v>954</v>
      </c>
      <c r="D31" s="201">
        <f>VLOOKUP(A31,Control!D13:F13,2,)</f>
        <v>1952</v>
      </c>
      <c r="E31" s="203">
        <f>VLOOKUP(A31,Control!D13:F13,3,)</f>
        <v>12687</v>
      </c>
      <c r="F31" s="202">
        <f t="shared" si="0"/>
        <v>11733</v>
      </c>
    </row>
    <row r="32" spans="1:6" x14ac:dyDescent="0.25">
      <c r="A32" s="198" t="s">
        <v>697</v>
      </c>
      <c r="B32" s="201">
        <f>GETPIVOTDATA("Sum of #  Familles",$A$7,"REGION"," Région de Tombouctou")</f>
        <v>1500</v>
      </c>
      <c r="C32" s="201">
        <f>GETPIVOTDATA("Sum of # Personnes",$A$7,"REGION"," Région de Tombouctou")</f>
        <v>9000</v>
      </c>
      <c r="D32" s="201">
        <f>VLOOKUP(A32,Control!D16:F16,2,)</f>
        <v>3348</v>
      </c>
      <c r="E32" s="203">
        <f>VLOOKUP(A32,Control!D16:F16,3,)</f>
        <v>21764</v>
      </c>
      <c r="F32" s="202">
        <f t="shared" si="0"/>
        <v>12764</v>
      </c>
    </row>
    <row r="33" spans="1:6" x14ac:dyDescent="0.25">
      <c r="A33" s="198" t="s">
        <v>1795</v>
      </c>
      <c r="B33" s="121">
        <f>GETPIVOTDATA("Sum of #  Familles",$A$7)</f>
        <v>14784</v>
      </c>
      <c r="C33" s="121">
        <f>GETPIVOTDATA("Sum of # Personnes",$A$7)</f>
        <v>99654</v>
      </c>
      <c r="D33" s="121">
        <f>SUM(D32,D31,D30,D29,D28,D27,D26,D25,D24)</f>
        <v>33885</v>
      </c>
      <c r="E33" s="204">
        <f>SUM(E32,E31,E30,E29,E28,E27,E26,E25,E24)</f>
        <v>228873</v>
      </c>
      <c r="F33" s="200">
        <f t="shared" si="0"/>
        <v>129219</v>
      </c>
    </row>
  </sheetData>
  <mergeCells count="5">
    <mergeCell ref="A4:D4"/>
    <mergeCell ref="A5:B5"/>
    <mergeCell ref="A20:D20"/>
    <mergeCell ref="A21:B21"/>
    <mergeCell ref="A1:C2"/>
  </mergeCells>
  <pageMargins left="0.7" right="0.7" top="0.75" bottom="0.75" header="0.3" footer="0.3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G28"/>
  <sheetViews>
    <sheetView zoomScaleNormal="100" workbookViewId="0">
      <selection activeCell="J14" sqref="J14"/>
    </sheetView>
  </sheetViews>
  <sheetFormatPr baseColWidth="10" defaultColWidth="9.140625" defaultRowHeight="15" x14ac:dyDescent="0.25"/>
  <cols>
    <col min="1" max="1" width="27.140625" bestFit="1" customWidth="1"/>
    <col min="2" max="2" width="7" bestFit="1" customWidth="1"/>
    <col min="3" max="3" width="20.28515625" customWidth="1"/>
    <col min="5" max="5" width="13.28515625" bestFit="1" customWidth="1"/>
    <col min="6" max="6" width="7" bestFit="1" customWidth="1"/>
    <col min="7" max="7" width="25.42578125" customWidth="1"/>
  </cols>
  <sheetData>
    <row r="1" spans="1:7" x14ac:dyDescent="0.25">
      <c r="A1" s="5"/>
      <c r="B1" s="5"/>
      <c r="C1" s="5"/>
      <c r="D1" s="5"/>
    </row>
    <row r="2" spans="1:7" ht="15.75" x14ac:dyDescent="0.25">
      <c r="A2" s="277" t="s">
        <v>1784</v>
      </c>
      <c r="B2" s="278"/>
      <c r="C2" s="278"/>
      <c r="D2" s="151"/>
      <c r="E2" s="277" t="s">
        <v>1786</v>
      </c>
      <c r="F2" s="279"/>
      <c r="G2" s="279"/>
    </row>
    <row r="3" spans="1:7" x14ac:dyDescent="0.25">
      <c r="A3" s="149" t="s">
        <v>1780</v>
      </c>
      <c r="B3" s="150" t="s">
        <v>1781</v>
      </c>
      <c r="C3" s="149" t="s">
        <v>1782</v>
      </c>
      <c r="D3" s="5"/>
      <c r="E3" s="149" t="s">
        <v>1780</v>
      </c>
      <c r="F3" s="150" t="s">
        <v>1781</v>
      </c>
      <c r="G3" s="149" t="s">
        <v>1782</v>
      </c>
    </row>
    <row r="4" spans="1:7" x14ac:dyDescent="0.25">
      <c r="A4" s="152" t="s">
        <v>1775</v>
      </c>
      <c r="B4" s="153" t="s">
        <v>1783</v>
      </c>
      <c r="C4" s="154">
        <v>1</v>
      </c>
      <c r="D4" s="5"/>
      <c r="E4" s="152"/>
      <c r="F4" s="153" t="s">
        <v>1783</v>
      </c>
      <c r="G4" s="154"/>
    </row>
    <row r="5" spans="1:7" x14ac:dyDescent="0.25">
      <c r="A5" s="152" t="s">
        <v>1776</v>
      </c>
      <c r="B5" s="153" t="s">
        <v>1783</v>
      </c>
      <c r="C5" s="154">
        <v>1</v>
      </c>
      <c r="D5" s="5"/>
      <c r="E5" s="152"/>
      <c r="F5" s="153" t="s">
        <v>1783</v>
      </c>
      <c r="G5" s="154"/>
    </row>
    <row r="6" spans="1:7" x14ac:dyDescent="0.25">
      <c r="A6" s="152" t="s">
        <v>1777</v>
      </c>
      <c r="B6" s="153" t="s">
        <v>1783</v>
      </c>
      <c r="C6" s="154">
        <v>3</v>
      </c>
      <c r="D6" s="5"/>
      <c r="E6" s="152"/>
      <c r="F6" s="153" t="s">
        <v>1783</v>
      </c>
      <c r="G6" s="154"/>
    </row>
    <row r="7" spans="1:7" x14ac:dyDescent="0.25">
      <c r="A7" s="152" t="s">
        <v>1778</v>
      </c>
      <c r="B7" s="153" t="s">
        <v>1783</v>
      </c>
      <c r="C7" s="154">
        <v>3</v>
      </c>
      <c r="D7" s="5"/>
      <c r="E7" s="152"/>
      <c r="F7" s="153" t="s">
        <v>1783</v>
      </c>
      <c r="G7" s="154"/>
    </row>
    <row r="8" spans="1:7" x14ac:dyDescent="0.25">
      <c r="A8" s="152" t="s">
        <v>1779</v>
      </c>
      <c r="B8" s="153" t="s">
        <v>1783</v>
      </c>
      <c r="C8" s="154">
        <v>1</v>
      </c>
      <c r="D8" s="5"/>
      <c r="E8" s="152"/>
      <c r="F8" s="153" t="s">
        <v>1783</v>
      </c>
      <c r="G8" s="154"/>
    </row>
    <row r="12" spans="1:7" ht="15.75" x14ac:dyDescent="0.25">
      <c r="A12" s="277" t="s">
        <v>1785</v>
      </c>
      <c r="B12" s="279"/>
      <c r="C12" s="279"/>
      <c r="E12" s="277" t="s">
        <v>1814</v>
      </c>
      <c r="F12" s="279"/>
      <c r="G12" s="279"/>
    </row>
    <row r="13" spans="1:7" x14ac:dyDescent="0.25">
      <c r="A13" s="149" t="s">
        <v>1780</v>
      </c>
      <c r="B13" s="150" t="s">
        <v>1781</v>
      </c>
      <c r="C13" s="149" t="s">
        <v>1782</v>
      </c>
      <c r="E13" s="149" t="s">
        <v>1780</v>
      </c>
      <c r="F13" s="150" t="s">
        <v>1781</v>
      </c>
      <c r="G13" s="149" t="s">
        <v>1782</v>
      </c>
    </row>
    <row r="14" spans="1:7" x14ac:dyDescent="0.25">
      <c r="A14" s="152"/>
      <c r="B14" s="153" t="s">
        <v>1783</v>
      </c>
      <c r="C14" s="154"/>
      <c r="E14" s="152"/>
      <c r="F14" s="153" t="s">
        <v>1783</v>
      </c>
      <c r="G14" s="154"/>
    </row>
    <row r="15" spans="1:7" x14ac:dyDescent="0.25">
      <c r="A15" s="152"/>
      <c r="B15" s="153" t="s">
        <v>1783</v>
      </c>
      <c r="C15" s="154"/>
      <c r="E15" s="152"/>
      <c r="F15" s="153" t="s">
        <v>1783</v>
      </c>
      <c r="G15" s="154"/>
    </row>
    <row r="16" spans="1:7" x14ac:dyDescent="0.25">
      <c r="A16" s="152"/>
      <c r="B16" s="153" t="s">
        <v>1783</v>
      </c>
      <c r="C16" s="154"/>
      <c r="E16" s="152"/>
      <c r="F16" s="153" t="s">
        <v>1783</v>
      </c>
      <c r="G16" s="154"/>
    </row>
    <row r="17" spans="1:7" x14ac:dyDescent="0.25">
      <c r="A17" s="152"/>
      <c r="B17" s="153" t="s">
        <v>1783</v>
      </c>
      <c r="C17" s="154"/>
      <c r="E17" s="152"/>
      <c r="F17" s="153" t="s">
        <v>1783</v>
      </c>
      <c r="G17" s="154"/>
    </row>
    <row r="18" spans="1:7" x14ac:dyDescent="0.25">
      <c r="A18" s="152"/>
      <c r="B18" s="153" t="s">
        <v>1783</v>
      </c>
      <c r="C18" s="154"/>
      <c r="E18" s="152"/>
      <c r="F18" s="153" t="s">
        <v>1783</v>
      </c>
      <c r="G18" s="154"/>
    </row>
    <row r="22" spans="1:7" ht="15.75" x14ac:dyDescent="0.25">
      <c r="E22" s="277" t="s">
        <v>1815</v>
      </c>
      <c r="F22" s="279"/>
      <c r="G22" s="279"/>
    </row>
    <row r="23" spans="1:7" x14ac:dyDescent="0.25">
      <c r="E23" s="149" t="s">
        <v>1780</v>
      </c>
      <c r="F23" s="150" t="s">
        <v>1781</v>
      </c>
      <c r="G23" s="149" t="s">
        <v>1782</v>
      </c>
    </row>
    <row r="24" spans="1:7" x14ac:dyDescent="0.25">
      <c r="E24" s="152"/>
      <c r="F24" s="153" t="s">
        <v>1783</v>
      </c>
      <c r="G24" s="154"/>
    </row>
    <row r="25" spans="1:7" x14ac:dyDescent="0.25">
      <c r="E25" s="152"/>
      <c r="F25" s="153" t="s">
        <v>1783</v>
      </c>
      <c r="G25" s="154"/>
    </row>
    <row r="26" spans="1:7" x14ac:dyDescent="0.25">
      <c r="E26" s="152"/>
      <c r="F26" s="153" t="s">
        <v>1783</v>
      </c>
      <c r="G26" s="154"/>
    </row>
    <row r="27" spans="1:7" x14ac:dyDescent="0.25">
      <c r="E27" s="152"/>
      <c r="F27" s="153" t="s">
        <v>1783</v>
      </c>
      <c r="G27" s="154"/>
    </row>
    <row r="28" spans="1:7" x14ac:dyDescent="0.25">
      <c r="E28" s="152"/>
      <c r="F28" s="153" t="s">
        <v>1783</v>
      </c>
      <c r="G28" s="154"/>
    </row>
  </sheetData>
  <mergeCells count="5">
    <mergeCell ref="A2:C2"/>
    <mergeCell ref="A12:C12"/>
    <mergeCell ref="E2:G2"/>
    <mergeCell ref="E12:G12"/>
    <mergeCell ref="E22:G22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s" ma:contentTypeID="0x010100AA7AFC8FE433CD4B94E991D812AE17EB001DFEBDA807C8D744AD2BD644A0DD52B4" ma:contentTypeVersion="77" ma:contentTypeDescription="" ma:contentTypeScope="" ma:versionID="281e9d16f30e9e392f9e0c3eeadcd263">
  <xsd:schema xmlns:xsd="http://www.w3.org/2001/XMLSchema" xmlns:xs="http://www.w3.org/2001/XMLSchema" xmlns:p="http://schemas.microsoft.com/office/2006/metadata/properties" xmlns:ns1="http://schemas.microsoft.com/sharepoint/v3" xmlns:ns2="96664bca-06c0-4657-b6f9-0a997f5ff9b9" xmlns:ns3="c2760211-3e43-4ff7-a9ea-22e8b7d99117" xmlns:ns4="410da107-b4b9-4416-82f0-a17ea7b4313c" xmlns:ns5="44d82dea-fc32-4e1e-a3c6-c3136ef66f65" targetNamespace="http://schemas.microsoft.com/office/2006/metadata/properties" ma:root="true" ma:fieldsID="d5e83ad9ae218e21a87abff6566d6b99" ns1:_="" ns2:_="" ns3:_="" ns4:_="" ns5:_="">
    <xsd:import namespace="http://schemas.microsoft.com/sharepoint/v3"/>
    <xsd:import namespace="96664bca-06c0-4657-b6f9-0a997f5ff9b9"/>
    <xsd:import namespace="c2760211-3e43-4ff7-a9ea-22e8b7d99117"/>
    <xsd:import namespace="410da107-b4b9-4416-82f0-a17ea7b4313c"/>
    <xsd:import namespace="44d82dea-fc32-4e1e-a3c6-c3136ef66f65"/>
    <xsd:element name="properties">
      <xsd:complexType>
        <xsd:sequence>
          <xsd:element name="documentManagement">
            <xsd:complexType>
              <xsd:all>
                <xsd:element ref="ns2:Document_x0020_Description" minOccurs="0"/>
                <xsd:element ref="ns2:Report_x0020_Date" minOccurs="0"/>
                <xsd:element ref="ns2:Publishing_x0020_Agency1" minOccurs="0"/>
                <xsd:element ref="ns3:Is_x0020_Key_x0020_Document1" minOccurs="0"/>
                <xsd:element ref="ns2:Is_x0020_Reference_x0020_Doc" minOccurs="0"/>
                <xsd:element ref="ns2:Is_x0020_Cluster_x0020_Management_x003f_" minOccurs="0"/>
                <xsd:element ref="ns2:Inter_x0020_Cluster" minOccurs="0"/>
                <xsd:element ref="ns2:IM" minOccurs="0"/>
                <xsd:element ref="ns2:A_x002c_M_x0020_and_x0020_E" minOccurs="0"/>
                <xsd:element ref="ns2:Shelter_x0020_Planning" minOccurs="0"/>
                <xsd:element ref="ns2:Shelter_x0020_Technical" minOccurs="0"/>
                <xsd:element ref="ns2:Shelter_x0020_Programming" minOccurs="0"/>
                <xsd:element ref="ns2:NFI_x0020_Guidance" minOccurs="0"/>
                <xsd:element ref="ns2:Cross_x0020_Cutting" minOccurs="0"/>
                <xsd:element ref="ns2:Media_x0020_Comms" minOccurs="0"/>
                <xsd:element ref="ns2:Event_x0020_Day" minOccurs="0"/>
                <xsd:element ref="ns2:Event_x0020_Month" minOccurs="0"/>
                <xsd:element ref="ns2:Event_x0020_Year" minOccurs="0"/>
                <xsd:element ref="ns2:Websio_x0020_Document_x0020_Preview" minOccurs="0"/>
                <xsd:element ref="ns2:p4235251fcc1450fb6d384a4ad55daef" minOccurs="0"/>
                <xsd:element ref="ns2:g7e01d2410934a95afa409e0dbebe315" minOccurs="0"/>
                <xsd:element ref="ns2:fbbb2add3bda4432ae4dea6625736703" minOccurs="0"/>
                <xsd:element ref="ns3:CountryTaxHTField0" minOccurs="0"/>
                <xsd:element ref="ns2:mff2b4bb9c8044d88061963b2a68513a" minOccurs="0"/>
                <xsd:element ref="ns2:b1a5a839b88a4a15abdc90cae864525c" minOccurs="0"/>
                <xsd:element ref="ns2:TaxCatchAll" minOccurs="0"/>
                <xsd:element ref="ns3:Event_x0020_TypeTaxHTField0" minOccurs="0"/>
                <xsd:element ref="ns2:hd9d801fa33a4aa2b8220e3e5f4d4756" minOccurs="0"/>
                <xsd:element ref="ns3:Degree_x0020_Of_x0020_DisplacementTaxHTField0" minOccurs="0"/>
                <xsd:element ref="ns4:Current_x0020_Lead_x0020_AgencyTaxHTField0" minOccurs="0"/>
                <xsd:element ref="ns2:a83348d14d814196bcaad6bde9cb9d0c" minOccurs="0"/>
                <xsd:element ref="ns5:Damage_x0020_LocationTaxHTField0" minOccurs="0"/>
                <xsd:element ref="ns2:TaxKeywordTaxHTField" minOccurs="0"/>
                <xsd:element ref="ns3:Site_x0020_TypeTaxHTField0" minOccurs="0"/>
                <xsd:element ref="ns5:Status_x0020_Of_x0020_SiteTaxHTField0" minOccurs="0"/>
                <xsd:element ref="ns2:e7570bd437624e0480332ee2423de9d8" minOccurs="0"/>
                <xsd:element ref="ns2:p866212cea484a06bc999f7bb36c5e20" minOccurs="0"/>
                <xsd:element ref="ns2:p9d35d47f93d40ab99282662ef2417ca" minOccurs="0"/>
                <xsd:element ref="ns2:TaxCatchAllLabel" minOccurs="0"/>
                <xsd:element ref="ns3:RegionTaxHTField0" minOccurs="0"/>
                <xsd:element ref="ns2:ff39aabcbcfa4b29888983c5e6d736f9" minOccurs="0"/>
                <xsd:element ref="ns2:e6f2ccbddc7344129cbcce7800e6bf7e" minOccurs="0"/>
                <xsd:element ref="ns1:RoutingRuleDescription" minOccurs="0"/>
                <xsd:element ref="ns2:g2834a0a4b5b445382f80b4d1c20b873" minOccurs="0"/>
                <xsd:element ref="ns2:ied6aaf0461f439496f935d3461379e0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RoutingRuleDescription" ma:index="73" nillable="true" ma:displayName="Description" ma:hidden="true" ma:internalName="RoutingRuleDescription" ma:readOnly="false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6664bca-06c0-4657-b6f9-0a997f5ff9b9" elementFormDefault="qualified">
    <xsd:import namespace="http://schemas.microsoft.com/office/2006/documentManagement/types"/>
    <xsd:import namespace="http://schemas.microsoft.com/office/infopath/2007/PartnerControls"/>
    <xsd:element name="Document_x0020_Description" ma:index="2" nillable="true" ma:displayName="Document Description" ma:internalName="Document_x0020_Description">
      <xsd:simpleType>
        <xsd:restriction base="dms:Note">
          <xsd:maxLength value="255"/>
        </xsd:restriction>
      </xsd:simpleType>
    </xsd:element>
    <xsd:element name="Report_x0020_Date" ma:index="3" nillable="true" ma:displayName="Report Date" ma:format="DateOnly" ma:internalName="Report_x0020_Date">
      <xsd:simpleType>
        <xsd:restriction base="dms:DateTime"/>
      </xsd:simpleType>
    </xsd:element>
    <xsd:element name="Publishing_x0020_Agency1" ma:index="4" nillable="true" ma:displayName="Publishing Agency" ma:internalName="Publishing_x0020_Agency1" ma:readOnly="false">
      <xsd:simpleType>
        <xsd:restriction base="dms:Text">
          <xsd:maxLength value="255"/>
        </xsd:restriction>
      </xsd:simpleType>
    </xsd:element>
    <xsd:element name="Is_x0020_Reference_x0020_Doc" ma:index="6" nillable="true" ma:displayName="Is Reference Doc?" ma:default="0" ma:internalName="Is_x0020_Reference_x0020_Doc">
      <xsd:simpleType>
        <xsd:restriction base="dms:Boolean"/>
      </xsd:simpleType>
    </xsd:element>
    <xsd:element name="Is_x0020_Cluster_x0020_Management_x003f_" ma:index="8" nillable="true" ma:displayName="Is Coordination?" ma:default="0" ma:internalName="Is_x0020_Cluster_x0020_Management_x003F_">
      <xsd:simpleType>
        <xsd:restriction base="dms:Boolean"/>
      </xsd:simpleType>
    </xsd:element>
    <xsd:element name="Inter_x0020_Cluster" ma:index="9" nillable="true" ma:displayName="Is Inter Cluster?" ma:default="0" ma:internalName="Inter_x0020_Cluster">
      <xsd:simpleType>
        <xsd:restriction base="dms:Boolean"/>
      </xsd:simpleType>
    </xsd:element>
    <xsd:element name="IM" ma:index="10" nillable="true" ma:displayName="Is IM?" ma:default="0" ma:internalName="IM">
      <xsd:simpleType>
        <xsd:restriction base="dms:Boolean"/>
      </xsd:simpleType>
    </xsd:element>
    <xsd:element name="A_x002c_M_x0020_and_x0020_E" ma:index="11" nillable="true" ma:displayName="Is A,M and E?" ma:default="0" ma:internalName="A_x002C_M_x0020_and_x0020_E">
      <xsd:simpleType>
        <xsd:restriction base="dms:Boolean"/>
      </xsd:simpleType>
    </xsd:element>
    <xsd:element name="Shelter_x0020_Planning" ma:index="12" nillable="true" ma:displayName="Is Shelter Planning?" ma:default="0" ma:internalName="Shelter_x0020_Planning">
      <xsd:simpleType>
        <xsd:restriction base="dms:Boolean"/>
      </xsd:simpleType>
    </xsd:element>
    <xsd:element name="Shelter_x0020_Technical" ma:index="13" nillable="true" ma:displayName="Is Shelter Specifications?" ma:default="0" ma:internalName="Shelter_x0020_Technical">
      <xsd:simpleType>
        <xsd:restriction base="dms:Boolean"/>
      </xsd:simpleType>
    </xsd:element>
    <xsd:element name="Shelter_x0020_Programming" ma:index="14" nillable="true" ma:displayName="Is Shelter Programming" ma:default="0" ma:internalName="Shelter_x0020_Programming">
      <xsd:simpleType>
        <xsd:restriction base="dms:Boolean"/>
      </xsd:simpleType>
    </xsd:element>
    <xsd:element name="NFI_x0020_Guidance" ma:index="15" nillable="true" ma:displayName="Is NFI Guidance?" ma:default="0" ma:internalName="NFI_x0020_Guidance">
      <xsd:simpleType>
        <xsd:restriction base="dms:Boolean"/>
      </xsd:simpleType>
    </xsd:element>
    <xsd:element name="Cross_x0020_Cutting" ma:index="16" nillable="true" ma:displayName="Is Cross Cutting?" ma:default="0" ma:internalName="Cross_x0020_Cutting">
      <xsd:simpleType>
        <xsd:restriction base="dms:Boolean"/>
      </xsd:simpleType>
    </xsd:element>
    <xsd:element name="Media_x0020_Comms" ma:index="17" nillable="true" ma:displayName="Is Communications?" ma:default="0" ma:internalName="Media_x0020_Comms">
      <xsd:simpleType>
        <xsd:restriction base="dms:Boolean"/>
      </xsd:simpleType>
    </xsd:element>
    <xsd:element name="Event_x0020_Day" ma:index="39" nillable="true" ma:displayName="Event Day" ma:decimals="0" ma:internalName="Event_x0020_Day" ma:readOnly="false" ma:percentage="FALSE">
      <xsd:simpleType>
        <xsd:restriction base="dms:Number"/>
      </xsd:simpleType>
    </xsd:element>
    <xsd:element name="Event_x0020_Month" ma:index="40" nillable="true" ma:displayName="Event Month" ma:internalName="Event_x0020_Month">
      <xsd:simpleType>
        <xsd:restriction base="dms:Text">
          <xsd:maxLength value="255"/>
        </xsd:restriction>
      </xsd:simpleType>
    </xsd:element>
    <xsd:element name="Event_x0020_Year" ma:index="41" nillable="true" ma:displayName="Event Year" ma:internalName="Event_x0020_Year">
      <xsd:simpleType>
        <xsd:restriction base="dms:Number"/>
      </xsd:simpleType>
    </xsd:element>
    <xsd:element name="Websio_x0020_Document_x0020_Preview" ma:index="43" nillable="true" ma:displayName="Websio Document Preview" ma:hidden="true" ma:internalName="Websio_x0020_Document_x0020_Preview">
      <xsd:simpleType>
        <xsd:restriction base="dms:Text"/>
      </xsd:simpleType>
    </xsd:element>
    <xsd:element name="p4235251fcc1450fb6d384a4ad55daef" ma:index="44" nillable="true" ma:taxonomy="true" ma:internalName="p4235251fcc1450fb6d384a4ad55daef" ma:taxonomyFieldName="AM_x0026_E" ma:displayName="AM&amp;E" ma:default="" ma:fieldId="{94235251-fcc1-450f-b6d3-84a4ad55daef}" ma:taxonomyMulti="true" ma:sspId="31bb8de2-2522-46a2-961a-21ec87b7ce6b" ma:termSetId="fc0942ea-7101-4cef-983d-3f0c29343c77" ma:anchorId="64078d6a-a8a4-4604-937a-604e2be1b1f3" ma:open="false" ma:isKeyword="false">
      <xsd:complexType>
        <xsd:sequence>
          <xsd:element ref="pc:Terms" minOccurs="0" maxOccurs="1"/>
        </xsd:sequence>
      </xsd:complexType>
    </xsd:element>
    <xsd:element name="g7e01d2410934a95afa409e0dbebe315" ma:index="45" nillable="true" ma:taxonomy="true" ma:internalName="g7e01d2410934a95afa409e0dbebe315" ma:taxonomyFieldName="Shelter_x0020_Programming1" ma:displayName="Shelter Programming" ma:default="" ma:fieldId="{07e01d24-1093-4a95-afa4-09e0dbebe315}" ma:taxonomyMulti="true" ma:sspId="31bb8de2-2522-46a2-961a-21ec87b7ce6b" ma:termSetId="fc0942ea-7101-4cef-983d-3f0c29343c77" ma:anchorId="6ffc187a-f185-482a-93e7-cea189b516b1" ma:open="false" ma:isKeyword="false">
      <xsd:complexType>
        <xsd:sequence>
          <xsd:element ref="pc:Terms" minOccurs="0" maxOccurs="1"/>
        </xsd:sequence>
      </xsd:complexType>
    </xsd:element>
    <xsd:element name="fbbb2add3bda4432ae4dea6625736703" ma:index="47" nillable="true" ma:taxonomy="true" ma:internalName="fbbb2add3bda4432ae4dea6625736703" ma:taxonomyFieldName="Shelter_x0020_Technical1" ma:displayName="Shelter Specifications" ma:default="" ma:fieldId="{fbbb2add-3bda-4432-ae4d-ea6625736703}" ma:taxonomyMulti="true" ma:sspId="31bb8de2-2522-46a2-961a-21ec87b7ce6b" ma:termSetId="fc0942ea-7101-4cef-983d-3f0c29343c77" ma:anchorId="f6aa237b-9a9e-4828-bc8f-7a5502b6ad3b" ma:open="false" ma:isKeyword="false">
      <xsd:complexType>
        <xsd:sequence>
          <xsd:element ref="pc:Terms" minOccurs="0" maxOccurs="1"/>
        </xsd:sequence>
      </xsd:complexType>
    </xsd:element>
    <xsd:element name="mff2b4bb9c8044d88061963b2a68513a" ma:index="49" nillable="true" ma:taxonomy="true" ma:internalName="mff2b4bb9c8044d88061963b2a68513a" ma:taxonomyFieldName="Cross_x0020_Cutting1" ma:displayName="Cross Cutting" ma:default="" ma:fieldId="{6ff2b4bb-9c80-44d8-8061-963b2a68513a}" ma:taxonomyMulti="true" ma:sspId="31bb8de2-2522-46a2-961a-21ec87b7ce6b" ma:termSetId="fc0942ea-7101-4cef-983d-3f0c29343c77" ma:anchorId="c9c5ac22-9574-4787-b9be-c380f5d93423" ma:open="false" ma:isKeyword="false">
      <xsd:complexType>
        <xsd:sequence>
          <xsd:element ref="pc:Terms" minOccurs="0" maxOccurs="1"/>
        </xsd:sequence>
      </xsd:complexType>
    </xsd:element>
    <xsd:element name="b1a5a839b88a4a15abdc90cae864525c" ma:index="50" ma:taxonomy="true" ma:internalName="b1a5a839b88a4a15abdc90cae864525c" ma:taxonomyFieldName="Document_x0020_Language" ma:displayName="Document Language" ma:default="115;#English|53eb1c9d-8416-419a-9260-1df8e70b86c2" ma:fieldId="{b1a5a839-b88a-4a15-abdc-90cae864525c}" ma:sspId="31bb8de2-2522-46a2-961a-21ec87b7ce6b" ma:termSetId="fc0942ea-7101-4cef-983d-3f0c29343c77" ma:anchorId="3f8ae703-20f8-43f3-a840-a904dae7223a" ma:open="false" ma:isKeyword="false">
      <xsd:complexType>
        <xsd:sequence>
          <xsd:element ref="pc:Terms" minOccurs="0" maxOccurs="1"/>
        </xsd:sequence>
      </xsd:complexType>
    </xsd:element>
    <xsd:element name="TaxCatchAll" ma:index="51" nillable="true" ma:displayName="Taxonomy Catch All Column" ma:description="" ma:hidden="true" ma:list="{3a036ed0-d222-47b6-8583-8ea0c1662976}" ma:internalName="TaxCatchAll" ma:showField="CatchAllData" ma:web="96664bca-06c0-4657-b6f9-0a997f5ff9b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hd9d801fa33a4aa2b8220e3e5f4d4756" ma:index="53" nillable="true" ma:taxonomy="true" ma:internalName="hd9d801fa33a4aa2b8220e3e5f4d4756" ma:taxonomyFieldName="InterCluster" ma:displayName="InterCluster" ma:default="" ma:fieldId="{1d9d801f-a33a-4aa2-b822-0e3e5f4d4756}" ma:taxonomyMulti="true" ma:sspId="31bb8de2-2522-46a2-961a-21ec87b7ce6b" ma:termSetId="fc0942ea-7101-4cef-983d-3f0c29343c77" ma:anchorId="470ba90d-466f-484c-b12a-234bc55ee74d" ma:open="false" ma:isKeyword="false">
      <xsd:complexType>
        <xsd:sequence>
          <xsd:element ref="pc:Terms" minOccurs="0" maxOccurs="1"/>
        </xsd:sequence>
      </xsd:complexType>
    </xsd:element>
    <xsd:element name="a83348d14d814196bcaad6bde9cb9d0c" ma:index="57" nillable="true" ma:taxonomy="true" ma:internalName="a83348d14d814196bcaad6bde9cb9d0c" ma:taxonomyFieldName="Management_x002F_Coordination" ma:displayName="Coordination" ma:readOnly="false" ma:default="" ma:fieldId="{a83348d1-4d81-4196-bcaa-d6bde9cb9d0c}" ma:taxonomyMulti="true" ma:sspId="31bb8de2-2522-46a2-961a-21ec87b7ce6b" ma:termSetId="fc0942ea-7101-4cef-983d-3f0c29343c77" ma:anchorId="e05f679b-4c94-4f3d-ae2a-25f1b2852231" ma:open="false" ma:isKeyword="false">
      <xsd:complexType>
        <xsd:sequence>
          <xsd:element ref="pc:Terms" minOccurs="0" maxOccurs="1"/>
        </xsd:sequence>
      </xsd:complexType>
    </xsd:element>
    <xsd:element name="TaxKeywordTaxHTField" ma:index="59" nillable="true" ma:taxonomy="true" ma:internalName="TaxKeywordTaxHTField" ma:taxonomyFieldName="TaxKeyword" ma:displayName="Other Keywords" ma:readOnly="false" ma:fieldId="{23f27201-bee3-471e-b2e7-b64fd8b7ca38}" ma:taxonomyMulti="true" ma:sspId="31bb8de2-2522-46a2-961a-21ec87b7ce6b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  <xsd:element name="e7570bd437624e0480332ee2423de9d8" ma:index="62" nillable="true" ma:taxonomy="true" ma:internalName="e7570bd437624e0480332ee2423de9d8" ma:taxonomyFieldName="Information_x0020_Management" ma:displayName="Information Management" ma:default="" ma:fieldId="{e7570bd4-3762-4e04-8033-2ee2423de9d8}" ma:taxonomyMulti="true" ma:sspId="31bb8de2-2522-46a2-961a-21ec87b7ce6b" ma:termSetId="fc0942ea-7101-4cef-983d-3f0c29343c77" ma:anchorId="9a84bd8f-7ea1-4b49-af83-e1dff044a912" ma:open="false" ma:isKeyword="false">
      <xsd:complexType>
        <xsd:sequence>
          <xsd:element ref="pc:Terms" minOccurs="0" maxOccurs="1"/>
        </xsd:sequence>
      </xsd:complexType>
    </xsd:element>
    <xsd:element name="p866212cea484a06bc999f7bb36c5e20" ma:index="63" nillable="true" ma:taxonomy="true" ma:internalName="p866212cea484a06bc999f7bb36c5e20" ma:taxonomyFieldName="Miscellaneoud_x0020_Terms" ma:displayName="Miscellaneous Terms" ma:default="" ma:fieldId="{9866212c-ea48-4a06-bc99-9f7bb36c5e20}" ma:taxonomyMulti="true" ma:sspId="31bb8de2-2522-46a2-961a-21ec87b7ce6b" ma:termSetId="fc0942ea-7101-4cef-983d-3f0c29343c77" ma:anchorId="54a1997e-7057-4841-9f7a-089c4d2738e1" ma:open="false" ma:isKeyword="false">
      <xsd:complexType>
        <xsd:sequence>
          <xsd:element ref="pc:Terms" minOccurs="0" maxOccurs="1"/>
        </xsd:sequence>
      </xsd:complexType>
    </xsd:element>
    <xsd:element name="p9d35d47f93d40ab99282662ef2417ca" ma:index="65" nillable="true" ma:taxonomy="true" ma:internalName="p9d35d47f93d40ab99282662ef2417ca" ma:taxonomyFieldName="NFI_x0020_Guidance1" ma:displayName="NFI Guidance" ma:default="" ma:fieldId="{99d35d47-f93d-40ab-9928-2662ef2417ca}" ma:taxonomyMulti="true" ma:sspId="31bb8de2-2522-46a2-961a-21ec87b7ce6b" ma:termSetId="fc0942ea-7101-4cef-983d-3f0c29343c77" ma:anchorId="e2765451-e2db-4bc1-bb0f-bd12364b4471" ma:open="false" ma:isKeyword="false">
      <xsd:complexType>
        <xsd:sequence>
          <xsd:element ref="pc:Terms" minOccurs="0" maxOccurs="1"/>
        </xsd:sequence>
      </xsd:complexType>
    </xsd:element>
    <xsd:element name="TaxCatchAllLabel" ma:index="67" nillable="true" ma:displayName="Taxonomy Catch All Column1" ma:description="" ma:hidden="true" ma:list="{3a036ed0-d222-47b6-8583-8ea0c1662976}" ma:internalName="TaxCatchAllLabel" ma:readOnly="true" ma:showField="CatchAllDataLabel" ma:web="96664bca-06c0-4657-b6f9-0a997f5ff9b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ff39aabcbcfa4b29888983c5e6d736f9" ma:index="69" nillable="true" ma:taxonomy="true" ma:internalName="ff39aabcbcfa4b29888983c5e6d736f9" ma:taxonomyFieldName="Communications" ma:displayName="Communications" ma:default="" ma:fieldId="{ff39aabc-bcfa-4b29-8889-83c5e6d736f9}" ma:taxonomyMulti="true" ma:sspId="31bb8de2-2522-46a2-961a-21ec87b7ce6b" ma:termSetId="2f8f2b4b-d4e1-4fa6-a1ae-b4e143ba8fb0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e6f2ccbddc7344129cbcce7800e6bf7e" ma:index="72" nillable="true" ma:taxonomy="true" ma:internalName="e6f2ccbddc7344129cbcce7800e6bf7e" ma:taxonomyFieldName="Document_x0020_Category" ma:displayName="Document Category" ma:default="" ma:fieldId="{e6f2ccbd-dc73-4412-9cbc-ce7800e6bf7e}" ma:taxonomyMulti="true" ma:sspId="31bb8de2-2522-46a2-961a-21ec87b7ce6b" ma:termSetId="fc0942ea-7101-4cef-983d-3f0c29343c77" ma:anchorId="2f0acb8a-9894-40ab-bdeb-14b10062243e" ma:open="false" ma:isKeyword="false">
      <xsd:complexType>
        <xsd:sequence>
          <xsd:element ref="pc:Terms" minOccurs="0" maxOccurs="1"/>
        </xsd:sequence>
      </xsd:complexType>
    </xsd:element>
    <xsd:element name="g2834a0a4b5b445382f80b4d1c20b873" ma:index="74" nillable="true" ma:taxonomy="true" ma:internalName="g2834a0a4b5b445382f80b4d1c20b873" ma:taxonomyFieldName="Responses_x0020_sites" ma:displayName="Response site" ma:default="351;#Mali|03caa992-e978-4a59-bc75-c5b0336e1ba0" ma:fieldId="{02834a0a-4b5b-4453-82f8-0b4d1c20b873}" ma:sspId="31bb8de2-2522-46a2-961a-21ec87b7ce6b" ma:termSetId="c88c7c60-b560-48ad-baaa-30f828e9201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ied6aaf0461f439496f935d3461379e0" ma:index="75" nillable="true" ma:taxonomy="true" ma:internalName="ied6aaf0461f439496f935d3461379e0" ma:taxonomyFieldName="Shelter_x0020_Planning1" ma:displayName="Shelter Planning" ma:default="" ma:fieldId="{2ed6aaf0-461f-4394-96f9-35d3461379e0}" ma:taxonomyMulti="true" ma:sspId="31bb8de2-2522-46a2-961a-21ec87b7ce6b" ma:termSetId="fc0942ea-7101-4cef-983d-3f0c29343c77" ma:anchorId="a9c87c9d-9d88-4522-b16d-9a64592835e3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760211-3e43-4ff7-a9ea-22e8b7d99117" elementFormDefault="qualified">
    <xsd:import namespace="http://schemas.microsoft.com/office/2006/documentManagement/types"/>
    <xsd:import namespace="http://schemas.microsoft.com/office/infopath/2007/PartnerControls"/>
    <xsd:element name="Is_x0020_Key_x0020_Document1" ma:index="5" nillable="true" ma:displayName="Is Key Document?" ma:default="0" ma:internalName="Is_x0020_Key_x0020_Document1">
      <xsd:simpleType>
        <xsd:restriction base="dms:Boolean"/>
      </xsd:simpleType>
    </xsd:element>
    <xsd:element name="CountryTaxHTField0" ma:index="48" nillable="true" ma:taxonomy="true" ma:internalName="CountryTaxHTField0" ma:taxonomyFieldName="Country" ma:displayName="Country" ma:default="" ma:fieldId="{942e2469-e9bf-41fa-8fad-a32765061e66}" ma:sspId="31bb8de2-2522-46a2-961a-21ec87b7ce6b" ma:termSetId="ad519c2a-14d0-4119-8cdc-b9a52bc5b307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Event_x0020_TypeTaxHTField0" ma:index="52" nillable="true" ma:taxonomy="true" ma:internalName="Event_x0020_TypeTaxHTField0" ma:taxonomyFieldName="Event_x0020_Type" ma:displayName="Event Type" ma:default="312;#Conflict|cd1719c2-e0d5-486c-9a70-d3abb04d6e72" ma:fieldId="{d2819105-16ee-476a-a49b-7913380fbc9d}" ma:taxonomyMulti="true" ma:sspId="31bb8de2-2522-46a2-961a-21ec87b7ce6b" ma:termSetId="0eaafbb5-4d8c-4c82-bb5b-501da8d14740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Degree_x0020_Of_x0020_DisplacementTaxHTField0" ma:index="54" nillable="true" ma:taxonomy="true" ma:internalName="Degree_x0020_Of_x0020_DisplacementTaxHTField0" ma:taxonomyFieldName="Degree_x0020_Of_x0020_Displacement" ma:displayName="Degree Of Displacement" ma:default="" ma:fieldId="{8d36c8ee-9bdf-45f8-b12b-68c9c2a5dddc}" ma:sspId="31bb8de2-2522-46a2-961a-21ec87b7ce6b" ma:termSetId="0ecb1a3f-12f4-47b9-a783-88f4976f6dc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Site_x0020_TypeTaxHTField0" ma:index="60" nillable="true" ma:taxonomy="true" ma:internalName="Site_x0020_TypeTaxHTField0" ma:taxonomyFieldName="Site_x0020_Type" ma:displayName="Site Type" ma:default="" ma:fieldId="{ccd48824-457c-44cf-ba2d-889d91075ddc}" ma:sspId="31bb8de2-2522-46a2-961a-21ec87b7ce6b" ma:termSetId="e2abc14b-db18-48c1-8087-07344f87300c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RegionTaxHTField0" ma:index="68" nillable="true" ma:taxonomy="true" ma:internalName="RegionTaxHTField0" ma:taxonomyFieldName="Region" ma:displayName="Region" ma:default="" ma:fieldId="{af22edad-9239-4d75-8f67-d09707ae69d6}" ma:sspId="31bb8de2-2522-46a2-961a-21ec87b7ce6b" ma:termSetId="71828aff-fb7f-4f7b-be9f-2eb2e6e3d758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10da107-b4b9-4416-82f0-a17ea7b4313c" elementFormDefault="qualified">
    <xsd:import namespace="http://schemas.microsoft.com/office/2006/documentManagement/types"/>
    <xsd:import namespace="http://schemas.microsoft.com/office/infopath/2007/PartnerControls"/>
    <xsd:element name="Current_x0020_Lead_x0020_AgencyTaxHTField0" ma:index="56" nillable="true" ma:taxonomy="true" ma:internalName="Current_x0020_Lead_x0020_AgencyTaxHTField0" ma:taxonomyFieldName="Current_x0020_Lead_x0020_Agency" ma:displayName="Emergency Lead Agency" ma:default="" ma:fieldId="{2eba69d1-0ed3-4998-b497-06086d343192}" ma:sspId="31bb8de2-2522-46a2-961a-21ec87b7ce6b" ma:termSetId="4713f10a-82b4-4a3e-b646-90b814a0dee8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d82dea-fc32-4e1e-a3c6-c3136ef66f65" elementFormDefault="qualified">
    <xsd:import namespace="http://schemas.microsoft.com/office/2006/documentManagement/types"/>
    <xsd:import namespace="http://schemas.microsoft.com/office/infopath/2007/PartnerControls"/>
    <xsd:element name="Damage_x0020_LocationTaxHTField0" ma:index="58" nillable="true" ma:taxonomy="true" ma:internalName="Damage_x0020_LocationTaxHTField0" ma:taxonomyFieldName="Damage_x0020_Location" ma:displayName="Damage Location" ma:default="" ma:fieldId="{c46b9bb5-ec8d-4991-ac82-8192f2f89d75}" ma:taxonomyMulti="true" ma:sspId="31bb8de2-2522-46a2-961a-21ec87b7ce6b" ma:termSetId="a720a396-a0fa-4309-92b6-8330774ebe4f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Status_x0020_Of_x0020_SiteTaxHTField0" ma:index="61" nillable="true" ma:taxonomy="true" ma:internalName="Status_x0020_Of_x0020_SiteTaxHTField0" ma:taxonomyFieldName="Status_x0020_Of_x0020_Site" ma:displayName="Site Status" ma:default="" ma:fieldId="{3818a4dd-3292-4cd0-97d2-80aec5764792}" ma:sspId="31bb8de2-2522-46a2-961a-21ec87b7ce6b" ma:termSetId="6b025238-0067-4eb3-9e39-f0f2cf917781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66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ff2b4bb9c8044d88061963b2a68513a xmlns="96664bca-06c0-4657-b6f9-0a997f5ff9b9">
      <Terms xmlns="http://schemas.microsoft.com/office/infopath/2007/PartnerControls"/>
    </mff2b4bb9c8044d88061963b2a68513a>
    <Inter_x0020_Cluster xmlns="96664bca-06c0-4657-b6f9-0a997f5ff9b9">false</Inter_x0020_Cluster>
    <e7570bd437624e0480332ee2423de9d8 xmlns="96664bca-06c0-4657-b6f9-0a997f5ff9b9">
      <Terms xmlns="http://schemas.microsoft.com/office/infopath/2007/PartnerControls"/>
    </e7570bd437624e0480332ee2423de9d8>
    <Cross_x0020_Cutting xmlns="96664bca-06c0-4657-b6f9-0a997f5ff9b9">false</Cross_x0020_Cutting>
    <Is_x0020_Key_x0020_Document1 xmlns="c2760211-3e43-4ff7-a9ea-22e8b7d99117">false</Is_x0020_Key_x0020_Document1>
    <p4235251fcc1450fb6d384a4ad55daef xmlns="96664bca-06c0-4657-b6f9-0a997f5ff9b9">
      <Terms xmlns="http://schemas.microsoft.com/office/infopath/2007/PartnerControls"/>
    </p4235251fcc1450fb6d384a4ad55daef>
    <Site_x0020_TypeTaxHTField0 xmlns="c2760211-3e43-4ff7-a9ea-22e8b7d99117">
      <Terms xmlns="http://schemas.microsoft.com/office/infopath/2007/PartnerControls"/>
    </Site_x0020_TypeTaxHTField0>
    <g7e01d2410934a95afa409e0dbebe315 xmlns="96664bca-06c0-4657-b6f9-0a997f5ff9b9">
      <Terms xmlns="http://schemas.microsoft.com/office/infopath/2007/PartnerControls"/>
    </g7e01d2410934a95afa409e0dbebe315>
    <hd9d801fa33a4aa2b8220e3e5f4d4756 xmlns="96664bca-06c0-4657-b6f9-0a997f5ff9b9">
      <Terms xmlns="http://schemas.microsoft.com/office/infopath/2007/PartnerControls"/>
    </hd9d801fa33a4aa2b8220e3e5f4d4756>
    <Event_x0020_Month xmlns="96664bca-06c0-4657-b6f9-0a997f5ff9b9" xsi:nil="true"/>
    <CountryTaxHTField0 xmlns="c2760211-3e43-4ff7-a9ea-22e8b7d99117">
      <Terms xmlns="http://schemas.microsoft.com/office/infopath/2007/PartnerControls"/>
    </CountryTaxHTField0>
    <Shelter_x0020_Technical xmlns="96664bca-06c0-4657-b6f9-0a997f5ff9b9">false</Shelter_x0020_Technical>
    <Degree_x0020_Of_x0020_DisplacementTaxHTField0 xmlns="c2760211-3e43-4ff7-a9ea-22e8b7d99117">
      <Terms xmlns="http://schemas.microsoft.com/office/infopath/2007/PartnerControls"/>
    </Degree_x0020_Of_x0020_DisplacementTaxHTField0>
    <Is_x0020_Cluster_x0020_Management_x003f_ xmlns="96664bca-06c0-4657-b6f9-0a997f5ff9b9">false</Is_x0020_Cluster_x0020_Management_x003f_>
    <IM xmlns="96664bca-06c0-4657-b6f9-0a997f5ff9b9">true</IM>
    <Event_x0020_Day xmlns="96664bca-06c0-4657-b6f9-0a997f5ff9b9" xsi:nil="true"/>
    <TaxKeywordTaxHTField xmlns="96664bca-06c0-4657-b6f9-0a997f5ff9b9">
      <Terms xmlns="http://schemas.microsoft.com/office/infopath/2007/PartnerControls"/>
    </TaxKeywordTaxHTField>
    <ied6aaf0461f439496f935d3461379e0 xmlns="96664bca-06c0-4657-b6f9-0a997f5ff9b9">
      <Terms xmlns="http://schemas.microsoft.com/office/infopath/2007/PartnerControls"/>
    </ied6aaf0461f439496f935d3461379e0>
    <Is_x0020_Reference_x0020_Doc xmlns="96664bca-06c0-4657-b6f9-0a997f5ff9b9">false</Is_x0020_Reference_x0020_Doc>
    <Event_x0020_Year xmlns="96664bca-06c0-4657-b6f9-0a997f5ff9b9" xsi:nil="true"/>
    <A_x002c_M_x0020_and_x0020_E xmlns="96664bca-06c0-4657-b6f9-0a997f5ff9b9">false</A_x002c_M_x0020_and_x0020_E>
    <Event_x0020_TypeTaxHTField0 xmlns="c2760211-3e43-4ff7-a9ea-22e8b7d99117">
      <Terms xmlns="http://schemas.microsoft.com/office/infopath/2007/PartnerControls"/>
    </Event_x0020_TypeTaxHTField0>
    <ff39aabcbcfa4b29888983c5e6d736f9 xmlns="96664bca-06c0-4657-b6f9-0a997f5ff9b9">
      <Terms xmlns="http://schemas.microsoft.com/office/infopath/2007/PartnerControls"/>
    </ff39aabcbcfa4b29888983c5e6d736f9>
    <e6f2ccbddc7344129cbcce7800e6bf7e xmlns="96664bca-06c0-4657-b6f9-0a997f5ff9b9">
      <Terms xmlns="http://schemas.microsoft.com/office/infopath/2007/PartnerControls"/>
    </e6f2ccbddc7344129cbcce7800e6bf7e>
    <g2834a0a4b5b445382f80b4d1c20b873 xmlns="96664bca-06c0-4657-b6f9-0a997f5ff9b9">
      <Terms xmlns="http://schemas.microsoft.com/office/infopath/2007/PartnerControls"/>
    </g2834a0a4b5b445382f80b4d1c20b873>
    <Document_x0020_Description xmlns="96664bca-06c0-4657-b6f9-0a997f5ff9b9">&lt;div class="ExternalClass2B4AF592AABD4605869C899FDD6BB5F5"&gt;&lt;p&gt;Shelter NFI Cluster Base Principale​&lt;/p&gt;&lt;/div&gt;</Document_x0020_Description>
    <Websio_x0020_Document_x0020_Preview xmlns="96664bca-06c0-4657-b6f9-0a997f5ff9b9">/Africa/Mali/_layouts/WebsioPreviewField/preview.aspx?ID=d05d123c-10f0-4adc-b71e-533e12f099d5&amp;WebID=e37d03cb-6723-44b2-bd8c-78443879acdf&amp;SiteID=0e29c24b-3e6a-4c7c-8cc1-69b27805b55c</Websio_x0020_Document_x0020_Preview>
    <b1a5a839b88a4a15abdc90cae864525c xmlns="96664bca-06c0-4657-b6f9-0a997f5ff9b9">
      <Terms xmlns="http://schemas.microsoft.com/office/infopath/2007/PartnerControls">
        <TermInfo xmlns="http://schemas.microsoft.com/office/infopath/2007/PartnerControls">
          <TermName xmlns="http://schemas.microsoft.com/office/infopath/2007/PartnerControls">English</TermName>
          <TermId xmlns="http://schemas.microsoft.com/office/infopath/2007/PartnerControls">53eb1c9d-8416-419a-9260-1df8e70b86c2</TermId>
        </TermInfo>
      </Terms>
    </b1a5a839b88a4a15abdc90cae864525c>
    <p866212cea484a06bc999f7bb36c5e20 xmlns="96664bca-06c0-4657-b6f9-0a997f5ff9b9">
      <Terms xmlns="http://schemas.microsoft.com/office/infopath/2007/PartnerControls"/>
    </p866212cea484a06bc999f7bb36c5e20>
    <RoutingRuleDescription xmlns="http://schemas.microsoft.com/sharepoint/v3" xsi:nil="true"/>
    <Publishing_x0020_Agency1 xmlns="96664bca-06c0-4657-b6f9-0a997f5ff9b9" xsi:nil="true"/>
    <fbbb2add3bda4432ae4dea6625736703 xmlns="96664bca-06c0-4657-b6f9-0a997f5ff9b9">
      <Terms xmlns="http://schemas.microsoft.com/office/infopath/2007/PartnerControls"/>
    </fbbb2add3bda4432ae4dea6625736703>
    <TaxCatchAll xmlns="96664bca-06c0-4657-b6f9-0a997f5ff9b9">
      <Value>115</Value>
    </TaxCatchAll>
    <Shelter_x0020_Programming xmlns="96664bca-06c0-4657-b6f9-0a997f5ff9b9">false</Shelter_x0020_Programming>
    <Status_x0020_Of_x0020_SiteTaxHTField0 xmlns="44d82dea-fc32-4e1e-a3c6-c3136ef66f65">
      <Terms xmlns="http://schemas.microsoft.com/office/infopath/2007/PartnerControls"/>
    </Status_x0020_Of_x0020_SiteTaxHTField0>
    <Shelter_x0020_Planning xmlns="96664bca-06c0-4657-b6f9-0a997f5ff9b9">false</Shelter_x0020_Planning>
    <Media_x0020_Comms xmlns="96664bca-06c0-4657-b6f9-0a997f5ff9b9">false</Media_x0020_Comms>
    <a83348d14d814196bcaad6bde9cb9d0c xmlns="96664bca-06c0-4657-b6f9-0a997f5ff9b9">
      <Terms xmlns="http://schemas.microsoft.com/office/infopath/2007/PartnerControls"/>
    </a83348d14d814196bcaad6bde9cb9d0c>
    <RegionTaxHTField0 xmlns="c2760211-3e43-4ff7-a9ea-22e8b7d99117">
      <Terms xmlns="http://schemas.microsoft.com/office/infopath/2007/PartnerControls"/>
    </RegionTaxHTField0>
    <Damage_x0020_LocationTaxHTField0 xmlns="44d82dea-fc32-4e1e-a3c6-c3136ef66f65">
      <Terms xmlns="http://schemas.microsoft.com/office/infopath/2007/PartnerControls"/>
    </Damage_x0020_LocationTaxHTField0>
    <NFI_x0020_Guidance xmlns="96664bca-06c0-4657-b6f9-0a997f5ff9b9">false</NFI_x0020_Guidance>
    <p9d35d47f93d40ab99282662ef2417ca xmlns="96664bca-06c0-4657-b6f9-0a997f5ff9b9">
      <Terms xmlns="http://schemas.microsoft.com/office/infopath/2007/PartnerControls"/>
    </p9d35d47f93d40ab99282662ef2417ca>
    <Report_x0020_Date xmlns="96664bca-06c0-4657-b6f9-0a997f5ff9b9">2013-02-15T00:00:00+00:00</Report_x0020_Date>
    <Current_x0020_Lead_x0020_AgencyTaxHTField0 xmlns="410da107-b4b9-4416-82f0-a17ea7b4313c">
      <Terms xmlns="http://schemas.microsoft.com/office/infopath/2007/PartnerControls"/>
    </Current_x0020_Lead_x0020_AgencyTaxHTField0>
  </documentManagement>
</p:properties>
</file>

<file path=customXml/itemProps1.xml><?xml version="1.0" encoding="utf-8"?>
<ds:datastoreItem xmlns:ds="http://schemas.openxmlformats.org/officeDocument/2006/customXml" ds:itemID="{F9F5F5CB-D51D-4E96-99AF-CD69718A090C}"/>
</file>

<file path=customXml/itemProps2.xml><?xml version="1.0" encoding="utf-8"?>
<ds:datastoreItem xmlns:ds="http://schemas.openxmlformats.org/officeDocument/2006/customXml" ds:itemID="{D4277C62-80B0-4FAA-A50B-77F51F22E47F}"/>
</file>

<file path=customXml/itemProps3.xml><?xml version="1.0" encoding="utf-8"?>
<ds:datastoreItem xmlns:ds="http://schemas.openxmlformats.org/officeDocument/2006/customXml" ds:itemID="{0E7B5E7F-A457-4D25-8FDF-AC1EA81F7C4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11</vt:i4>
      </vt:variant>
      <vt:variant>
        <vt:lpstr>Plages nommées</vt:lpstr>
      </vt:variant>
      <vt:variant>
        <vt:i4>65</vt:i4>
      </vt:variant>
    </vt:vector>
  </HeadingPairs>
  <TitlesOfParts>
    <vt:vector size="76" baseType="lpstr">
      <vt:lpstr>Base Distribution</vt:lpstr>
      <vt:lpstr>Stock de Contingence</vt:lpstr>
      <vt:lpstr>Analyse NFI-Agence</vt:lpstr>
      <vt:lpstr>Analyse NFI-Region</vt:lpstr>
      <vt:lpstr>Analyse Agence-Béneficiaires</vt:lpstr>
      <vt:lpstr>Control</vt:lpstr>
      <vt:lpstr>Pcode</vt:lpstr>
      <vt:lpstr>Analyse Région-Bénéficiaires.</vt:lpstr>
      <vt:lpstr>Composition des kits cuisine</vt:lpstr>
      <vt:lpstr>NFI by Agency</vt:lpstr>
      <vt:lpstr>Sheet2</vt:lpstr>
      <vt:lpstr>Activités</vt:lpstr>
      <vt:lpstr>Admin1</vt:lpstr>
      <vt:lpstr>Admin1_1</vt:lpstr>
      <vt:lpstr>Admin1_111</vt:lpstr>
      <vt:lpstr>Admin1_2</vt:lpstr>
      <vt:lpstr>Admin1_211</vt:lpstr>
      <vt:lpstr>Admin1_212</vt:lpstr>
      <vt:lpstr>Admin1_213</vt:lpstr>
      <vt:lpstr>Admin1_214</vt:lpstr>
      <vt:lpstr>Admin1_215</vt:lpstr>
      <vt:lpstr>Admin1_216</vt:lpstr>
      <vt:lpstr>Admin1_217</vt:lpstr>
      <vt:lpstr>Admin1_3</vt:lpstr>
      <vt:lpstr>Admin1_311</vt:lpstr>
      <vt:lpstr>Admin1_312</vt:lpstr>
      <vt:lpstr>Admin1_313</vt:lpstr>
      <vt:lpstr>Admin1_314</vt:lpstr>
      <vt:lpstr>Admin1_315</vt:lpstr>
      <vt:lpstr>Admin1_316</vt:lpstr>
      <vt:lpstr>Admin1_317</vt:lpstr>
      <vt:lpstr>Admin1_4</vt:lpstr>
      <vt:lpstr>Admin1_411</vt:lpstr>
      <vt:lpstr>Admin1_412</vt:lpstr>
      <vt:lpstr>Admin1_413</vt:lpstr>
      <vt:lpstr>Admin1_414</vt:lpstr>
      <vt:lpstr>Admin1_415</vt:lpstr>
      <vt:lpstr>Admin1_416</vt:lpstr>
      <vt:lpstr>Admin1_417</vt:lpstr>
      <vt:lpstr>Admin1_5</vt:lpstr>
      <vt:lpstr>Admin1_511</vt:lpstr>
      <vt:lpstr>Admin1_512</vt:lpstr>
      <vt:lpstr>Admin1_513</vt:lpstr>
      <vt:lpstr>Admin1_514</vt:lpstr>
      <vt:lpstr>Admin1_515</vt:lpstr>
      <vt:lpstr>Admin1_516</vt:lpstr>
      <vt:lpstr>Admin1_517</vt:lpstr>
      <vt:lpstr>Admin1_6</vt:lpstr>
      <vt:lpstr>Admin1_611</vt:lpstr>
      <vt:lpstr>Admin1_612</vt:lpstr>
      <vt:lpstr>Admin1_613</vt:lpstr>
      <vt:lpstr>Admin1_614</vt:lpstr>
      <vt:lpstr>Admin1_615</vt:lpstr>
      <vt:lpstr>Admin1_616</vt:lpstr>
      <vt:lpstr>Admin1_617</vt:lpstr>
      <vt:lpstr>Admin1_618</vt:lpstr>
      <vt:lpstr>Admin1_7</vt:lpstr>
      <vt:lpstr>Admin1_711</vt:lpstr>
      <vt:lpstr>Admin1_712</vt:lpstr>
      <vt:lpstr>Admin1_713</vt:lpstr>
      <vt:lpstr>Admin1_714</vt:lpstr>
      <vt:lpstr>Admin1_715</vt:lpstr>
      <vt:lpstr>Admin1_8</vt:lpstr>
      <vt:lpstr>Admin1_811</vt:lpstr>
      <vt:lpstr>Admin1_812</vt:lpstr>
      <vt:lpstr>Admin1_813</vt:lpstr>
      <vt:lpstr>Admin1_814</vt:lpstr>
      <vt:lpstr>Admin1_9</vt:lpstr>
      <vt:lpstr>Admin1_911</vt:lpstr>
      <vt:lpstr>Admin1_912</vt:lpstr>
      <vt:lpstr>Admin1_913</vt:lpstr>
      <vt:lpstr>Admin1_914</vt:lpstr>
      <vt:lpstr>Agencies</vt:lpstr>
      <vt:lpstr>Cibles</vt:lpstr>
      <vt:lpstr>Organisations</vt:lpstr>
      <vt:lpstr>ORGANIZATION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Shelter_NFI Cluster_Base Principale_15.02.2013</dc:title>
  <dc:creator>djusselme</dc:creator>
  <cp:lastModifiedBy>Laurent</cp:lastModifiedBy>
  <dcterms:created xsi:type="dcterms:W3CDTF">2013-02-04T10:52:04Z</dcterms:created>
  <dcterms:modified xsi:type="dcterms:W3CDTF">2013-02-15T13:41:47Z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0x010100AA7AFC8FE433CD4B94E991D812AE17EB001DFEBDA807C8D744AD2BD644A0DD52B4</vt:lpwstr>
  </property>
  <property fmtid="{D5CDD505-2E9C-101B-9397-08002B2CF9AE}" pid="3" name="TaxKeyword">
    <vt:lpwstr/>
  </property>
  <property fmtid="{D5CDD505-2E9C-101B-9397-08002B2CF9AE}" pid="6" name="Miscellaneoud Terms">
    <vt:lpwstr/>
  </property>
  <property fmtid="{D5CDD505-2E9C-101B-9397-08002B2CF9AE}" pid="7" name="Document Language">
    <vt:lpwstr>115;#English|53eb1c9d-8416-419a-9260-1df8e70b86c2</vt:lpwstr>
  </property>
  <property fmtid="{D5CDD505-2E9C-101B-9397-08002B2CF9AE}" pid="8" name="Document Category">
    <vt:lpwstr/>
  </property>
  <property fmtid="{D5CDD505-2E9C-101B-9397-08002B2CF9AE}" pid="9" name="Shelter Programming1">
    <vt:lpwstr/>
  </property>
  <property fmtid="{D5CDD505-2E9C-101B-9397-08002B2CF9AE}" pid="10" name="Information Management">
    <vt:lpwstr/>
  </property>
  <property fmtid="{D5CDD505-2E9C-101B-9397-08002B2CF9AE}" pid="11" name="NFI Guidance1">
    <vt:lpwstr/>
  </property>
  <property fmtid="{D5CDD505-2E9C-101B-9397-08002B2CF9AE}" pid="15" name="Damage Location">
    <vt:lpwstr/>
  </property>
  <property fmtid="{D5CDD505-2E9C-101B-9397-08002B2CF9AE}" pid="17" name="InterCluster">
    <vt:lpwstr/>
  </property>
  <property fmtid="{D5CDD505-2E9C-101B-9397-08002B2CF9AE}" pid="18" name="Management/Coordination">
    <vt:lpwstr/>
  </property>
  <property fmtid="{D5CDD505-2E9C-101B-9397-08002B2CF9AE}" pid="20" name="Cross Cutting1">
    <vt:lpwstr/>
  </property>
  <property fmtid="{D5CDD505-2E9C-101B-9397-08002B2CF9AE}" pid="22" name="AM&amp;E">
    <vt:lpwstr/>
  </property>
  <property fmtid="{D5CDD505-2E9C-101B-9397-08002B2CF9AE}" pid="23" name="Shelter Technical1">
    <vt:lpwstr/>
  </property>
  <property fmtid="{D5CDD505-2E9C-101B-9397-08002B2CF9AE}" pid="24" name="Event Type">
    <vt:lpwstr/>
  </property>
  <property fmtid="{D5CDD505-2E9C-101B-9397-08002B2CF9AE}" pid="25" name="Shelter Planning1">
    <vt:lpwstr/>
  </property>
</Properties>
</file>