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.xml" ContentType="application/vnd.openxmlformats-officedocument.drawing+xml"/>
  <Override PartName="/xl/tables/table1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a\Documents\20160131 Shelter Cluster IMO\11_Cluster Databases\"/>
    </mc:Choice>
  </mc:AlternateContent>
  <bookViews>
    <workbookView xWindow="480" yWindow="105" windowWidth="20010" windowHeight="8025" tabRatio="933" firstSheet="6" activeTab="12" xr2:uid="{00000000-000D-0000-FFFF-FFFF00000000}"/>
  </bookViews>
  <sheets>
    <sheet name="2017 HRP Target" sheetId="2" r:id="rId1"/>
    <sheet name="Jan.17" sheetId="12" r:id="rId2"/>
    <sheet name="Feb.17" sheetId="13" r:id="rId3"/>
    <sheet name="Mar.17" sheetId="14" r:id="rId4"/>
    <sheet name="Apr.17" sheetId="15" r:id="rId5"/>
    <sheet name="May.17" sheetId="16" r:id="rId6"/>
    <sheet name="Jun.17" sheetId="17" r:id="rId7"/>
    <sheet name="Jul.17" sheetId="19" r:id="rId8"/>
    <sheet name="Aug.17" sheetId="21" r:id="rId9"/>
    <sheet name="Sept.17" sheetId="25" r:id="rId10"/>
    <sheet name="Oct.17" sheetId="27" r:id="rId11"/>
    <sheet name="Nov.17" sheetId="28" r:id="rId12"/>
    <sheet name="Dec.17" sheetId="31" r:id="rId13"/>
    <sheet name="Consolidated 2017_Response" sheetId="4" r:id="rId14"/>
    <sheet name="PMR May.17" sheetId="11" r:id="rId15"/>
    <sheet name="PMR Jun.17" sheetId="18" r:id="rId16"/>
    <sheet name="PMR Jul.17" sheetId="20" r:id="rId17"/>
    <sheet name="PMR Aug.17" sheetId="22" r:id="rId18"/>
    <sheet name="PMR Sept.17" sheetId="26" r:id="rId19"/>
    <sheet name="PMR Oct.17" sheetId="29" r:id="rId20"/>
    <sheet name="PMR Nov.17" sheetId="30" r:id="rId21"/>
    <sheet name="PMR Dec.17" sheetId="32" r:id="rId22"/>
    <sheet name="Consolidated 2017_PMR " sheetId="23" r:id="rId23"/>
  </sheets>
  <definedNames>
    <definedName name="_xlnm.Print_Area" localSheetId="13">'Consolidated 2017_Response'!$A$1:$L$24</definedName>
  </definedNames>
  <calcPr calcId="171027"/>
</workbook>
</file>

<file path=xl/calcChain.xml><?xml version="1.0" encoding="utf-8"?>
<calcChain xmlns="http://schemas.openxmlformats.org/spreadsheetml/2006/main">
  <c r="Q13" i="4" l="1"/>
  <c r="O13" i="4"/>
  <c r="P13" i="4"/>
  <c r="Q12" i="4"/>
  <c r="P12" i="4"/>
  <c r="O12" i="4"/>
  <c r="N12" i="4"/>
  <c r="N13" i="4" s="1"/>
  <c r="AF32" i="23" l="1"/>
  <c r="AE32" i="23"/>
  <c r="AF25" i="23"/>
  <c r="AF23" i="23"/>
  <c r="AF21" i="23"/>
  <c r="AF19" i="23"/>
  <c r="AE25" i="23"/>
  <c r="AE23" i="23"/>
  <c r="AE21" i="23"/>
  <c r="AE19" i="23"/>
  <c r="AF12" i="23"/>
  <c r="AF10" i="23"/>
  <c r="AE12" i="23"/>
  <c r="AE10" i="23"/>
  <c r="J30" i="32" l="1"/>
  <c r="K30" i="32" s="1"/>
  <c r="J23" i="32"/>
  <c r="K23" i="32" s="1"/>
  <c r="J21" i="32"/>
  <c r="K21" i="32" s="1"/>
  <c r="J19" i="32"/>
  <c r="K19" i="32" s="1"/>
  <c r="J17" i="32"/>
  <c r="K17" i="32" s="1"/>
  <c r="J10" i="32"/>
  <c r="K10" i="32" s="1"/>
  <c r="J8" i="32"/>
  <c r="K8" i="32" s="1"/>
  <c r="G4" i="4"/>
  <c r="H4" i="4"/>
  <c r="I4" i="4"/>
  <c r="J4" i="4"/>
  <c r="K4" i="4"/>
  <c r="L4" i="4"/>
  <c r="G5" i="4"/>
  <c r="H5" i="4"/>
  <c r="I5" i="4"/>
  <c r="J5" i="4"/>
  <c r="K5" i="4"/>
  <c r="L5" i="4"/>
  <c r="G6" i="4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H3" i="4"/>
  <c r="I3" i="4"/>
  <c r="J3" i="4"/>
  <c r="K3" i="4"/>
  <c r="L3" i="4"/>
  <c r="G3" i="4"/>
  <c r="L17" i="31"/>
  <c r="L15" i="31"/>
  <c r="L5" i="31"/>
  <c r="G21" i="31"/>
  <c r="G22" i="31" s="1"/>
  <c r="D59" i="31"/>
  <c r="D60" i="31" s="1"/>
  <c r="C59" i="31"/>
  <c r="C60" i="31" s="1"/>
  <c r="D53" i="31"/>
  <c r="D54" i="31" s="1"/>
  <c r="C53" i="31"/>
  <c r="C54" i="31" s="1"/>
  <c r="D49" i="31"/>
  <c r="D45" i="31"/>
  <c r="D43" i="31"/>
  <c r="D41" i="31"/>
  <c r="D39" i="31"/>
  <c r="D37" i="31"/>
  <c r="D35" i="31"/>
  <c r="D31" i="31"/>
  <c r="D30" i="31"/>
  <c r="C30" i="31"/>
  <c r="D27" i="31" s="1"/>
  <c r="L21" i="31"/>
  <c r="L22" i="31" s="1"/>
  <c r="K21" i="31"/>
  <c r="K22" i="31" s="1"/>
  <c r="H21" i="31"/>
  <c r="H22" i="31" s="1"/>
  <c r="D21" i="31"/>
  <c r="D22" i="31" s="1"/>
  <c r="C21" i="31"/>
  <c r="C22" i="31" s="1"/>
  <c r="F20" i="31"/>
  <c r="E20" i="31"/>
  <c r="F19" i="31"/>
  <c r="E19" i="31"/>
  <c r="F18" i="31"/>
  <c r="E18" i="31"/>
  <c r="F17" i="31"/>
  <c r="E17" i="31"/>
  <c r="F16" i="31"/>
  <c r="E16" i="31"/>
  <c r="F15" i="31"/>
  <c r="E15" i="31"/>
  <c r="F14" i="31"/>
  <c r="E14" i="31"/>
  <c r="F13" i="31"/>
  <c r="E13" i="31"/>
  <c r="F12" i="31"/>
  <c r="E12" i="31"/>
  <c r="F11" i="31"/>
  <c r="E11" i="31"/>
  <c r="F10" i="31"/>
  <c r="E10" i="31"/>
  <c r="I21" i="31"/>
  <c r="I22" i="31" s="1"/>
  <c r="F9" i="31"/>
  <c r="F8" i="31"/>
  <c r="E8" i="31"/>
  <c r="F7" i="31"/>
  <c r="E7" i="31"/>
  <c r="F6" i="31"/>
  <c r="E6" i="31"/>
  <c r="F5" i="31"/>
  <c r="E5" i="31"/>
  <c r="F4" i="31"/>
  <c r="E4" i="31"/>
  <c r="F3" i="31"/>
  <c r="E3" i="31"/>
  <c r="J21" i="31" l="1"/>
  <c r="J22" i="31" s="1"/>
  <c r="F22" i="31" s="1"/>
  <c r="D28" i="31"/>
  <c r="C31" i="31"/>
  <c r="E9" i="31"/>
  <c r="E21" i="31" s="1"/>
  <c r="D29" i="31"/>
  <c r="D38" i="31"/>
  <c r="D42" i="31"/>
  <c r="D46" i="31"/>
  <c r="D50" i="31"/>
  <c r="D47" i="31"/>
  <c r="D51" i="31"/>
  <c r="D36" i="31"/>
  <c r="D40" i="31"/>
  <c r="D44" i="31"/>
  <c r="D48" i="31"/>
  <c r="D52" i="31"/>
  <c r="Z10" i="23"/>
  <c r="Y32" i="23"/>
  <c r="Z32" i="23" s="1"/>
  <c r="Y25" i="23"/>
  <c r="Z25" i="23" s="1"/>
  <c r="Y23" i="23"/>
  <c r="Z23" i="23" s="1"/>
  <c r="Y21" i="23"/>
  <c r="Z21" i="23" s="1"/>
  <c r="Y19" i="23"/>
  <c r="Z19" i="23" s="1"/>
  <c r="Y12" i="23"/>
  <c r="Z12" i="23" s="1"/>
  <c r="Y10" i="23"/>
  <c r="J30" i="30"/>
  <c r="K30" i="30" s="1"/>
  <c r="J23" i="30"/>
  <c r="K23" i="30" s="1"/>
  <c r="J21" i="30"/>
  <c r="K21" i="30" s="1"/>
  <c r="J19" i="30"/>
  <c r="K19" i="30" s="1"/>
  <c r="J17" i="30"/>
  <c r="K17" i="30" s="1"/>
  <c r="J10" i="30"/>
  <c r="K10" i="30" s="1"/>
  <c r="J8" i="30"/>
  <c r="K8" i="30" s="1"/>
  <c r="J30" i="29"/>
  <c r="K30" i="29" s="1"/>
  <c r="J23" i="29"/>
  <c r="K23" i="29" s="1"/>
  <c r="K21" i="29"/>
  <c r="J21" i="29"/>
  <c r="J19" i="29"/>
  <c r="K19" i="29" s="1"/>
  <c r="J17" i="29"/>
  <c r="K17" i="29" s="1"/>
  <c r="J10" i="29"/>
  <c r="K10" i="29" s="1"/>
  <c r="J8" i="29"/>
  <c r="K8" i="29" s="1"/>
  <c r="J18" i="28"/>
  <c r="F18" i="28" s="1"/>
  <c r="J15" i="28"/>
  <c r="F15" i="28" s="1"/>
  <c r="J11" i="28"/>
  <c r="J8" i="28"/>
  <c r="J21" i="28" s="1"/>
  <c r="J22" i="28" s="1"/>
  <c r="I9" i="28"/>
  <c r="I21" i="28" s="1"/>
  <c r="I22" i="28" s="1"/>
  <c r="E17" i="28"/>
  <c r="H21" i="28"/>
  <c r="H22" i="28" s="1"/>
  <c r="D59" i="28"/>
  <c r="D60" i="28" s="1"/>
  <c r="C59" i="28"/>
  <c r="C60" i="28" s="1"/>
  <c r="D53" i="28"/>
  <c r="D54" i="28" s="1"/>
  <c r="C53" i="28"/>
  <c r="C54" i="28" s="1"/>
  <c r="D50" i="28"/>
  <c r="D46" i="28"/>
  <c r="D38" i="28"/>
  <c r="D30" i="28"/>
  <c r="D28" i="28" s="1"/>
  <c r="C30" i="28"/>
  <c r="L21" i="28"/>
  <c r="L22" i="28" s="1"/>
  <c r="K21" i="28"/>
  <c r="K22" i="28" s="1"/>
  <c r="G21" i="28"/>
  <c r="G22" i="28" s="1"/>
  <c r="D21" i="28"/>
  <c r="D22" i="28" s="1"/>
  <c r="C21" i="28"/>
  <c r="C22" i="28" s="1"/>
  <c r="F20" i="28"/>
  <c r="E20" i="28"/>
  <c r="F19" i="28"/>
  <c r="E19" i="28"/>
  <c r="E18" i="28"/>
  <c r="F17" i="28"/>
  <c r="F16" i="28"/>
  <c r="E16" i="28"/>
  <c r="E15" i="28"/>
  <c r="F14" i="28"/>
  <c r="E14" i="28"/>
  <c r="F13" i="28"/>
  <c r="E13" i="28"/>
  <c r="F12" i="28"/>
  <c r="E12" i="28"/>
  <c r="E11" i="28"/>
  <c r="F10" i="28"/>
  <c r="E10" i="28"/>
  <c r="F9" i="28"/>
  <c r="E9" i="28"/>
  <c r="F8" i="28"/>
  <c r="E8" i="28"/>
  <c r="F7" i="28"/>
  <c r="E7" i="28"/>
  <c r="F6" i="28"/>
  <c r="E6" i="28"/>
  <c r="F5" i="28"/>
  <c r="E5" i="28"/>
  <c r="F4" i="28"/>
  <c r="E4" i="28"/>
  <c r="F3" i="28"/>
  <c r="E3" i="28"/>
  <c r="E23" i="31" l="1"/>
  <c r="E22" i="31"/>
  <c r="F21" i="31"/>
  <c r="F23" i="31" s="1"/>
  <c r="D31" i="28"/>
  <c r="D29" i="28"/>
  <c r="D27" i="28"/>
  <c r="D42" i="28"/>
  <c r="F22" i="28"/>
  <c r="F11" i="28"/>
  <c r="E21" i="28"/>
  <c r="E23" i="28" s="1"/>
  <c r="F21" i="28"/>
  <c r="F23" i="28" s="1"/>
  <c r="C31" i="28"/>
  <c r="D37" i="28"/>
  <c r="D41" i="28"/>
  <c r="D45" i="28"/>
  <c r="D49" i="28"/>
  <c r="D35" i="28"/>
  <c r="D39" i="28"/>
  <c r="D43" i="28"/>
  <c r="D47" i="28"/>
  <c r="D51" i="28"/>
  <c r="D36" i="28"/>
  <c r="D40" i="28"/>
  <c r="D44" i="28"/>
  <c r="D48" i="28"/>
  <c r="D52" i="28"/>
  <c r="AB32" i="23"/>
  <c r="AC32" i="23" s="1"/>
  <c r="AB12" i="23"/>
  <c r="AC12" i="23" s="1"/>
  <c r="AB10" i="23"/>
  <c r="AC10" i="23" s="1"/>
  <c r="AB23" i="23"/>
  <c r="AC23" i="23" s="1"/>
  <c r="AB25" i="23"/>
  <c r="AC25" i="23" s="1"/>
  <c r="AB19" i="23"/>
  <c r="AC19" i="23" s="1"/>
  <c r="AB21" i="23"/>
  <c r="AC21" i="23" s="1"/>
  <c r="D59" i="27"/>
  <c r="D60" i="27" s="1"/>
  <c r="C59" i="27"/>
  <c r="C60" i="27" s="1"/>
  <c r="D53" i="27"/>
  <c r="C53" i="27"/>
  <c r="C54" i="27" s="1"/>
  <c r="D52" i="27"/>
  <c r="D48" i="27"/>
  <c r="D44" i="27"/>
  <c r="D40" i="27"/>
  <c r="D36" i="27"/>
  <c r="D30" i="27"/>
  <c r="D31" i="27" s="1"/>
  <c r="C30" i="27"/>
  <c r="D27" i="27" s="1"/>
  <c r="H21" i="27"/>
  <c r="J21" i="27"/>
  <c r="L21" i="27"/>
  <c r="F21" i="27"/>
  <c r="F23" i="27" s="1"/>
  <c r="D21" i="27"/>
  <c r="E3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L22" i="27"/>
  <c r="K21" i="27"/>
  <c r="K22" i="27" s="1"/>
  <c r="J22" i="27"/>
  <c r="I21" i="27"/>
  <c r="I22" i="27"/>
  <c r="H22" i="27"/>
  <c r="G21" i="27"/>
  <c r="G22" i="27" s="1"/>
  <c r="F22" i="27"/>
  <c r="D22" i="27"/>
  <c r="C21" i="27"/>
  <c r="C22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F4" i="27"/>
  <c r="F3" i="27"/>
  <c r="V25" i="23"/>
  <c r="W25" i="23" s="1"/>
  <c r="V23" i="23"/>
  <c r="W23" i="23" s="1"/>
  <c r="V21" i="23"/>
  <c r="W21" i="23" s="1"/>
  <c r="V19" i="23"/>
  <c r="W19" i="23" s="1"/>
  <c r="V12" i="23"/>
  <c r="W12" i="23" s="1"/>
  <c r="V10" i="23"/>
  <c r="W10" i="23" s="1"/>
  <c r="V32" i="23"/>
  <c r="W32" i="23" s="1"/>
  <c r="J30" i="26"/>
  <c r="K30" i="26" s="1"/>
  <c r="J23" i="26"/>
  <c r="K23" i="26" s="1"/>
  <c r="J21" i="26"/>
  <c r="K21" i="26" s="1"/>
  <c r="K19" i="26"/>
  <c r="J19" i="26"/>
  <c r="J17" i="26"/>
  <c r="K17" i="26" s="1"/>
  <c r="K10" i="26"/>
  <c r="J10" i="26"/>
  <c r="J8" i="26"/>
  <c r="K8" i="26" s="1"/>
  <c r="J18" i="25"/>
  <c r="J15" i="25"/>
  <c r="J11" i="25"/>
  <c r="J9" i="25"/>
  <c r="J8" i="25"/>
  <c r="J7" i="25"/>
  <c r="J3" i="25"/>
  <c r="D59" i="25"/>
  <c r="D60" i="25"/>
  <c r="C59" i="25"/>
  <c r="C60" i="25"/>
  <c r="D53" i="25"/>
  <c r="D54" i="25"/>
  <c r="C53" i="25"/>
  <c r="C54" i="25" s="1"/>
  <c r="D46" i="25"/>
  <c r="D42" i="25"/>
  <c r="C31" i="25"/>
  <c r="D30" i="25"/>
  <c r="D28" i="25" s="1"/>
  <c r="C30" i="25"/>
  <c r="D29" i="25"/>
  <c r="D27" i="25"/>
  <c r="L21" i="25"/>
  <c r="L22" i="25" s="1"/>
  <c r="K21" i="25"/>
  <c r="K22" i="25" s="1"/>
  <c r="I21" i="25"/>
  <c r="I22" i="25" s="1"/>
  <c r="H21" i="25"/>
  <c r="H22" i="25" s="1"/>
  <c r="G21" i="25"/>
  <c r="G22" i="25" s="1"/>
  <c r="D21" i="25"/>
  <c r="D22" i="25" s="1"/>
  <c r="C21" i="25"/>
  <c r="C22" i="25" s="1"/>
  <c r="F20" i="25"/>
  <c r="E20" i="25"/>
  <c r="F19" i="25"/>
  <c r="E19" i="25"/>
  <c r="E18" i="25"/>
  <c r="F17" i="25"/>
  <c r="E17" i="25"/>
  <c r="F16" i="25"/>
  <c r="E16" i="25"/>
  <c r="F15" i="25"/>
  <c r="E15" i="25"/>
  <c r="F14" i="25"/>
  <c r="E14" i="25"/>
  <c r="F13" i="25"/>
  <c r="E13" i="25"/>
  <c r="F12" i="25"/>
  <c r="E12" i="25"/>
  <c r="F11" i="25"/>
  <c r="E11" i="25"/>
  <c r="F10" i="25"/>
  <c r="E10" i="25"/>
  <c r="F9" i="25"/>
  <c r="E9" i="25"/>
  <c r="E8" i="25"/>
  <c r="F7" i="25"/>
  <c r="E7" i="25"/>
  <c r="F6" i="25"/>
  <c r="E6" i="25"/>
  <c r="F5" i="25"/>
  <c r="E5" i="25"/>
  <c r="F4" i="25"/>
  <c r="E4" i="25"/>
  <c r="F3" i="25"/>
  <c r="E3" i="25"/>
  <c r="E21" i="25" s="1"/>
  <c r="E22" i="25" s="1"/>
  <c r="D37" i="25"/>
  <c r="D41" i="25"/>
  <c r="D45" i="25"/>
  <c r="D49" i="25"/>
  <c r="D35" i="25"/>
  <c r="D39" i="25"/>
  <c r="D43" i="25"/>
  <c r="D47" i="25"/>
  <c r="D51" i="25"/>
  <c r="D36" i="25"/>
  <c r="D40" i="25"/>
  <c r="D44" i="25"/>
  <c r="D48" i="25"/>
  <c r="D52" i="25"/>
  <c r="S32" i="23"/>
  <c r="T32" i="23" s="1"/>
  <c r="S25" i="23"/>
  <c r="T25" i="23" s="1"/>
  <c r="S23" i="23"/>
  <c r="T23" i="23" s="1"/>
  <c r="S21" i="23"/>
  <c r="T21" i="23" s="1"/>
  <c r="S19" i="23"/>
  <c r="T19" i="23" s="1"/>
  <c r="S12" i="23"/>
  <c r="T12" i="23" s="1"/>
  <c r="S10" i="23"/>
  <c r="T10" i="23" s="1"/>
  <c r="P32" i="23"/>
  <c r="Q32" i="23" s="1"/>
  <c r="P25" i="23"/>
  <c r="Q25" i="23" s="1"/>
  <c r="P23" i="23"/>
  <c r="Q23" i="23" s="1"/>
  <c r="P21" i="23"/>
  <c r="Q21" i="23" s="1"/>
  <c r="P19" i="23"/>
  <c r="Q19" i="23" s="1"/>
  <c r="P12" i="23"/>
  <c r="Q12" i="23" s="1"/>
  <c r="P10" i="23"/>
  <c r="Q10" i="23" s="1"/>
  <c r="M32" i="23"/>
  <c r="N32" i="23" s="1"/>
  <c r="M25" i="23"/>
  <c r="N25" i="23" s="1"/>
  <c r="M23" i="23"/>
  <c r="N23" i="23" s="1"/>
  <c r="M21" i="23"/>
  <c r="N21" i="23" s="1"/>
  <c r="M19" i="23"/>
  <c r="N19" i="23" s="1"/>
  <c r="M12" i="23"/>
  <c r="N12" i="23" s="1"/>
  <c r="M10" i="23"/>
  <c r="N10" i="23" s="1"/>
  <c r="J32" i="23"/>
  <c r="K32" i="23" s="1"/>
  <c r="J25" i="23"/>
  <c r="K25" i="23" s="1"/>
  <c r="J23" i="23"/>
  <c r="K23" i="23" s="1"/>
  <c r="J21" i="23"/>
  <c r="K21" i="23" s="1"/>
  <c r="J19" i="23"/>
  <c r="K19" i="23" s="1"/>
  <c r="J12" i="23"/>
  <c r="K12" i="23"/>
  <c r="J10" i="23"/>
  <c r="K10" i="23" s="1"/>
  <c r="F15" i="21"/>
  <c r="F11" i="21"/>
  <c r="F7" i="21"/>
  <c r="H21" i="21"/>
  <c r="E4" i="21"/>
  <c r="J30" i="22"/>
  <c r="K30" i="22" s="1"/>
  <c r="J23" i="22"/>
  <c r="K23" i="22"/>
  <c r="J21" i="22"/>
  <c r="K21" i="22"/>
  <c r="J19" i="22"/>
  <c r="K19" i="22"/>
  <c r="J17" i="22"/>
  <c r="K17" i="22" s="1"/>
  <c r="J10" i="22"/>
  <c r="K10" i="22"/>
  <c r="J8" i="22"/>
  <c r="K8" i="22" s="1"/>
  <c r="D59" i="21"/>
  <c r="D60" i="21" s="1"/>
  <c r="C59" i="21"/>
  <c r="C60" i="21" s="1"/>
  <c r="D53" i="21"/>
  <c r="C53" i="21"/>
  <c r="D46" i="21" s="1"/>
  <c r="D41" i="21"/>
  <c r="D35" i="21"/>
  <c r="D30" i="21"/>
  <c r="D31" i="21" s="1"/>
  <c r="C30" i="21"/>
  <c r="D27" i="21"/>
  <c r="L21" i="21"/>
  <c r="L22" i="21"/>
  <c r="K21" i="21"/>
  <c r="K22" i="21"/>
  <c r="J21" i="21"/>
  <c r="J22" i="21"/>
  <c r="I21" i="21"/>
  <c r="I22" i="21"/>
  <c r="D21" i="21"/>
  <c r="D22" i="21"/>
  <c r="C21" i="21"/>
  <c r="C22" i="21"/>
  <c r="F20" i="21"/>
  <c r="E20" i="21"/>
  <c r="F19" i="21"/>
  <c r="E19" i="21"/>
  <c r="F18" i="21"/>
  <c r="E18" i="21"/>
  <c r="F17" i="21"/>
  <c r="E17" i="21"/>
  <c r="F16" i="21"/>
  <c r="E16" i="21"/>
  <c r="E15" i="21"/>
  <c r="F14" i="21"/>
  <c r="E14" i="21"/>
  <c r="F13" i="21"/>
  <c r="E13" i="21"/>
  <c r="F12" i="21"/>
  <c r="E12" i="21"/>
  <c r="E11" i="21"/>
  <c r="F10" i="21"/>
  <c r="E10" i="21"/>
  <c r="F9" i="21"/>
  <c r="E9" i="21"/>
  <c r="F8" i="21"/>
  <c r="E8" i="21"/>
  <c r="E7" i="21"/>
  <c r="F6" i="21"/>
  <c r="E6" i="21"/>
  <c r="F5" i="21"/>
  <c r="E5" i="21"/>
  <c r="F4" i="21"/>
  <c r="F3" i="21"/>
  <c r="G21" i="21"/>
  <c r="G22" i="21" s="1"/>
  <c r="E3" i="21"/>
  <c r="D28" i="21"/>
  <c r="C31" i="21"/>
  <c r="D29" i="21"/>
  <c r="D36" i="21"/>
  <c r="F15" i="19"/>
  <c r="E3" i="19"/>
  <c r="J30" i="20"/>
  <c r="K30" i="20"/>
  <c r="J23" i="20"/>
  <c r="K23" i="20"/>
  <c r="J21" i="20"/>
  <c r="K21" i="20"/>
  <c r="J19" i="20"/>
  <c r="K19" i="20"/>
  <c r="J17" i="20"/>
  <c r="K17" i="20"/>
  <c r="J10" i="20"/>
  <c r="K10" i="20"/>
  <c r="J8" i="20"/>
  <c r="K8" i="20"/>
  <c r="D59" i="19"/>
  <c r="D60" i="19"/>
  <c r="C59" i="19"/>
  <c r="C60" i="19"/>
  <c r="D53" i="19"/>
  <c r="D54" i="19"/>
  <c r="C53" i="19"/>
  <c r="C54" i="19"/>
  <c r="D30" i="19"/>
  <c r="D31" i="19"/>
  <c r="C30" i="19"/>
  <c r="K21" i="19"/>
  <c r="K22" i="19" s="1"/>
  <c r="J21" i="19"/>
  <c r="J22" i="19"/>
  <c r="I21" i="19"/>
  <c r="I22" i="19" s="1"/>
  <c r="H21" i="19"/>
  <c r="H22" i="19"/>
  <c r="F22" i="19" s="1"/>
  <c r="D21" i="19"/>
  <c r="D22" i="19" s="1"/>
  <c r="C21" i="19"/>
  <c r="C22" i="19"/>
  <c r="F20" i="19"/>
  <c r="E20" i="19"/>
  <c r="F19" i="19"/>
  <c r="E19" i="19"/>
  <c r="F18" i="19"/>
  <c r="E18" i="19"/>
  <c r="F17" i="19"/>
  <c r="E17" i="19"/>
  <c r="F16" i="19"/>
  <c r="E16" i="19"/>
  <c r="E15" i="19"/>
  <c r="F14" i="19"/>
  <c r="E14" i="19"/>
  <c r="F13" i="19"/>
  <c r="E13" i="19"/>
  <c r="F12" i="19"/>
  <c r="E12" i="19"/>
  <c r="F11" i="19"/>
  <c r="E11" i="19"/>
  <c r="F10" i="19"/>
  <c r="E10" i="19"/>
  <c r="F9" i="19"/>
  <c r="E9" i="19"/>
  <c r="F8" i="19"/>
  <c r="E8" i="19"/>
  <c r="F7" i="19"/>
  <c r="E7" i="19"/>
  <c r="F6" i="19"/>
  <c r="E6" i="19"/>
  <c r="L21" i="19"/>
  <c r="L22" i="19"/>
  <c r="F5" i="19"/>
  <c r="E5" i="19"/>
  <c r="F4" i="19"/>
  <c r="E4" i="19"/>
  <c r="F3" i="19"/>
  <c r="G21" i="19"/>
  <c r="G22" i="19"/>
  <c r="E21" i="19"/>
  <c r="D37" i="19"/>
  <c r="D28" i="19"/>
  <c r="D46" i="19"/>
  <c r="D42" i="19"/>
  <c r="D38" i="19"/>
  <c r="D50" i="19"/>
  <c r="D41" i="19"/>
  <c r="F21" i="19"/>
  <c r="F23" i="19" s="1"/>
  <c r="D45" i="19"/>
  <c r="D49" i="19"/>
  <c r="D35" i="19"/>
  <c r="D39" i="19"/>
  <c r="D43" i="19"/>
  <c r="D47" i="19"/>
  <c r="D51" i="19"/>
  <c r="D36" i="19"/>
  <c r="D40" i="19"/>
  <c r="D44" i="19"/>
  <c r="D48" i="19"/>
  <c r="D52" i="19"/>
  <c r="J30" i="18"/>
  <c r="K30" i="18"/>
  <c r="J23" i="18"/>
  <c r="K23" i="18" s="1"/>
  <c r="J21" i="18"/>
  <c r="K21" i="18"/>
  <c r="J19" i="18"/>
  <c r="K19" i="18" s="1"/>
  <c r="J17" i="18"/>
  <c r="K17" i="18"/>
  <c r="J10" i="18"/>
  <c r="K10" i="18" s="1"/>
  <c r="J8" i="18"/>
  <c r="K8" i="18"/>
  <c r="F3" i="17"/>
  <c r="F4" i="17"/>
  <c r="F6" i="17"/>
  <c r="F7" i="17"/>
  <c r="F8" i="17"/>
  <c r="F10" i="17"/>
  <c r="F11" i="17"/>
  <c r="F12" i="17"/>
  <c r="F13" i="17"/>
  <c r="F14" i="17"/>
  <c r="F16" i="17"/>
  <c r="F17" i="17"/>
  <c r="F18" i="17"/>
  <c r="F19" i="17"/>
  <c r="F20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3" i="17"/>
  <c r="F4" i="16"/>
  <c r="F6" i="16"/>
  <c r="F7" i="16"/>
  <c r="F8" i="16"/>
  <c r="F10" i="16"/>
  <c r="F11" i="16"/>
  <c r="F12" i="16"/>
  <c r="F13" i="16"/>
  <c r="F14" i="16"/>
  <c r="F15" i="16"/>
  <c r="F16" i="16"/>
  <c r="F18" i="16"/>
  <c r="F19" i="16"/>
  <c r="F20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3" i="16"/>
  <c r="E21" i="16" s="1"/>
  <c r="E23" i="16" s="1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3" i="15" s="1"/>
  <c r="E4" i="15"/>
  <c r="E5" i="15"/>
  <c r="E6" i="15"/>
  <c r="E21" i="15" s="1"/>
  <c r="E23" i="15" s="1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3" i="15"/>
  <c r="F3" i="14"/>
  <c r="F4" i="14"/>
  <c r="F6" i="14"/>
  <c r="F7" i="14"/>
  <c r="F9" i="14"/>
  <c r="F11" i="14"/>
  <c r="F12" i="14"/>
  <c r="F13" i="14"/>
  <c r="F15" i="14"/>
  <c r="F16" i="14"/>
  <c r="F18" i="14"/>
  <c r="F19" i="14"/>
  <c r="F20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3" i="14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3" i="13" s="1"/>
  <c r="E4" i="13"/>
  <c r="E5" i="13"/>
  <c r="E6" i="13"/>
  <c r="E21" i="13" s="1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3" i="13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3" i="12"/>
  <c r="L15" i="17"/>
  <c r="L9" i="17"/>
  <c r="F9" i="17" s="1"/>
  <c r="L5" i="17"/>
  <c r="F5" i="17" s="1"/>
  <c r="L17" i="16"/>
  <c r="F17" i="16" s="1"/>
  <c r="L9" i="16"/>
  <c r="L5" i="16"/>
  <c r="F5" i="16" s="1"/>
  <c r="L4" i="16"/>
  <c r="L3" i="16"/>
  <c r="L21" i="16" s="1"/>
  <c r="L22" i="16" s="1"/>
  <c r="L21" i="15"/>
  <c r="L22" i="15" s="1"/>
  <c r="L17" i="14"/>
  <c r="F17" i="14" s="1"/>
  <c r="L14" i="14"/>
  <c r="L11" i="14"/>
  <c r="L10" i="14"/>
  <c r="L8" i="14"/>
  <c r="L5" i="14"/>
  <c r="L21" i="13"/>
  <c r="L22" i="13"/>
  <c r="L21" i="12"/>
  <c r="L22" i="12" s="1"/>
  <c r="J21" i="17"/>
  <c r="J22" i="17"/>
  <c r="I21" i="17"/>
  <c r="I22" i="17" s="1"/>
  <c r="J21" i="15"/>
  <c r="J22" i="15"/>
  <c r="J21" i="14"/>
  <c r="J22" i="14" s="1"/>
  <c r="J21" i="13"/>
  <c r="J22" i="13"/>
  <c r="J21" i="12"/>
  <c r="J22" i="12" s="1"/>
  <c r="E7" i="4"/>
  <c r="F7" i="4"/>
  <c r="E9" i="4"/>
  <c r="E11" i="4"/>
  <c r="F11" i="4"/>
  <c r="E13" i="4"/>
  <c r="E15" i="4"/>
  <c r="F15" i="4"/>
  <c r="E17" i="4"/>
  <c r="E19" i="4"/>
  <c r="F19" i="4"/>
  <c r="H21" i="17"/>
  <c r="H22" i="17"/>
  <c r="H21" i="16"/>
  <c r="H21" i="15"/>
  <c r="H22" i="15"/>
  <c r="F22" i="15" s="1"/>
  <c r="H21" i="14"/>
  <c r="H21" i="13"/>
  <c r="H22" i="13"/>
  <c r="H21" i="12"/>
  <c r="D59" i="17"/>
  <c r="D60" i="17"/>
  <c r="C59" i="17"/>
  <c r="C60" i="17" s="1"/>
  <c r="D53" i="17"/>
  <c r="D54" i="17"/>
  <c r="C53" i="17"/>
  <c r="D30" i="17"/>
  <c r="D28" i="17"/>
  <c r="C30" i="17"/>
  <c r="C31" i="17" s="1"/>
  <c r="K21" i="17"/>
  <c r="K22" i="17"/>
  <c r="E21" i="17"/>
  <c r="D21" i="17"/>
  <c r="D22" i="17" s="1"/>
  <c r="C21" i="17"/>
  <c r="C22" i="17"/>
  <c r="D60" i="16"/>
  <c r="D59" i="16"/>
  <c r="C59" i="16"/>
  <c r="C60" i="16"/>
  <c r="D53" i="16"/>
  <c r="D51" i="16" s="1"/>
  <c r="C53" i="16"/>
  <c r="C54" i="16"/>
  <c r="D30" i="16"/>
  <c r="C30" i="16"/>
  <c r="K21" i="16"/>
  <c r="K22" i="16" s="1"/>
  <c r="I21" i="16"/>
  <c r="I22" i="16"/>
  <c r="G21" i="16"/>
  <c r="G22" i="16" s="1"/>
  <c r="D21" i="16"/>
  <c r="D22" i="16"/>
  <c r="C21" i="16"/>
  <c r="C22" i="16" s="1"/>
  <c r="D59" i="15"/>
  <c r="D60" i="15" s="1"/>
  <c r="C59" i="15"/>
  <c r="C60" i="15" s="1"/>
  <c r="D53" i="15"/>
  <c r="D51" i="15"/>
  <c r="C53" i="15"/>
  <c r="C54" i="15" s="1"/>
  <c r="D42" i="15"/>
  <c r="D30" i="15"/>
  <c r="D31" i="15"/>
  <c r="C30" i="15"/>
  <c r="D29" i="15" s="1"/>
  <c r="K21" i="15"/>
  <c r="K22" i="15" s="1"/>
  <c r="I21" i="15"/>
  <c r="I22" i="15"/>
  <c r="G21" i="15"/>
  <c r="G22" i="15" s="1"/>
  <c r="D21" i="15"/>
  <c r="D22" i="15"/>
  <c r="C21" i="15"/>
  <c r="C22" i="15" s="1"/>
  <c r="C60" i="14"/>
  <c r="D59" i="14"/>
  <c r="D60" i="14" s="1"/>
  <c r="C59" i="14"/>
  <c r="C54" i="14"/>
  <c r="D53" i="14"/>
  <c r="C53" i="14"/>
  <c r="D30" i="14"/>
  <c r="D31" i="14"/>
  <c r="C30" i="14"/>
  <c r="C31" i="14" s="1"/>
  <c r="K21" i="14"/>
  <c r="K22" i="14"/>
  <c r="I21" i="14"/>
  <c r="I22" i="14" s="1"/>
  <c r="G21" i="14"/>
  <c r="G22" i="14"/>
  <c r="D21" i="14"/>
  <c r="D22" i="14"/>
  <c r="C21" i="14"/>
  <c r="C22" i="14" s="1"/>
  <c r="D59" i="13"/>
  <c r="D60" i="13"/>
  <c r="C59" i="13"/>
  <c r="C60" i="13" s="1"/>
  <c r="D53" i="13"/>
  <c r="D54" i="13"/>
  <c r="C53" i="13"/>
  <c r="D30" i="13"/>
  <c r="D31" i="13"/>
  <c r="C30" i="13"/>
  <c r="C31" i="13" s="1"/>
  <c r="K21" i="13"/>
  <c r="K22" i="13"/>
  <c r="I21" i="13"/>
  <c r="I22" i="13" s="1"/>
  <c r="G21" i="13"/>
  <c r="G22" i="13"/>
  <c r="D21" i="13"/>
  <c r="D22" i="13" s="1"/>
  <c r="C21" i="13"/>
  <c r="C22" i="13"/>
  <c r="D59" i="12"/>
  <c r="D60" i="12" s="1"/>
  <c r="C59" i="12"/>
  <c r="C60" i="12"/>
  <c r="D53" i="12"/>
  <c r="D54" i="12" s="1"/>
  <c r="C53" i="12"/>
  <c r="C54" i="12"/>
  <c r="D30" i="12"/>
  <c r="C30" i="12"/>
  <c r="G22" i="12"/>
  <c r="K21" i="12"/>
  <c r="K22" i="12"/>
  <c r="I21" i="12"/>
  <c r="I22" i="12" s="1"/>
  <c r="G21" i="12"/>
  <c r="D21" i="12"/>
  <c r="D22" i="12" s="1"/>
  <c r="C21" i="12"/>
  <c r="C22" i="12"/>
  <c r="D46" i="12"/>
  <c r="D38" i="15"/>
  <c r="D48" i="15"/>
  <c r="D54" i="15"/>
  <c r="D40" i="16"/>
  <c r="D40" i="15"/>
  <c r="D50" i="15"/>
  <c r="D48" i="16"/>
  <c r="E22" i="16"/>
  <c r="E20" i="4"/>
  <c r="E16" i="4"/>
  <c r="E14" i="4"/>
  <c r="E12" i="4"/>
  <c r="E10" i="4"/>
  <c r="E8" i="4"/>
  <c r="E6" i="4"/>
  <c r="E4" i="4"/>
  <c r="E18" i="4"/>
  <c r="E5" i="4"/>
  <c r="E3" i="4"/>
  <c r="D40" i="12"/>
  <c r="D48" i="12"/>
  <c r="D28" i="13"/>
  <c r="D29" i="14"/>
  <c r="D36" i="15"/>
  <c r="D44" i="15"/>
  <c r="D52" i="15"/>
  <c r="D42" i="16"/>
  <c r="D50" i="16"/>
  <c r="D54" i="16"/>
  <c r="D27" i="17"/>
  <c r="D50" i="12"/>
  <c r="D52" i="16"/>
  <c r="D29" i="17"/>
  <c r="D31" i="17"/>
  <c r="D42" i="12"/>
  <c r="D29" i="13"/>
  <c r="D36" i="16"/>
  <c r="D44" i="16"/>
  <c r="D36" i="12"/>
  <c r="D44" i="12"/>
  <c r="D27" i="13"/>
  <c r="D38" i="16"/>
  <c r="D46" i="16"/>
  <c r="F20" i="4"/>
  <c r="F16" i="4"/>
  <c r="F12" i="4"/>
  <c r="F6" i="4"/>
  <c r="F14" i="4"/>
  <c r="F4" i="4"/>
  <c r="H21" i="4"/>
  <c r="H22" i="4" s="1"/>
  <c r="F13" i="4"/>
  <c r="F9" i="4"/>
  <c r="F5" i="4"/>
  <c r="J21" i="16"/>
  <c r="J22" i="16" s="1"/>
  <c r="G21" i="17"/>
  <c r="G22" i="17" s="1"/>
  <c r="D45" i="17"/>
  <c r="D43" i="17"/>
  <c r="D40" i="17"/>
  <c r="D37" i="16"/>
  <c r="D41" i="16"/>
  <c r="D45" i="16"/>
  <c r="D49" i="16"/>
  <c r="D31" i="16"/>
  <c r="D35" i="16"/>
  <c r="D39" i="16"/>
  <c r="D43" i="16"/>
  <c r="D47" i="16"/>
  <c r="D37" i="15"/>
  <c r="D41" i="15"/>
  <c r="D45" i="15"/>
  <c r="D49" i="15"/>
  <c r="D35" i="15"/>
  <c r="D39" i="15"/>
  <c r="D43" i="15"/>
  <c r="D47" i="15"/>
  <c r="D27" i="14"/>
  <c r="D28" i="14"/>
  <c r="D39" i="14"/>
  <c r="D50" i="13"/>
  <c r="D47" i="13"/>
  <c r="D44" i="13"/>
  <c r="D37" i="12"/>
  <c r="D41" i="12"/>
  <c r="D45" i="12"/>
  <c r="D49" i="12"/>
  <c r="D29" i="12"/>
  <c r="D31" i="12"/>
  <c r="D35" i="12"/>
  <c r="D39" i="12"/>
  <c r="D43" i="12"/>
  <c r="D47" i="12"/>
  <c r="D51" i="12"/>
  <c r="D52" i="12"/>
  <c r="J30" i="11"/>
  <c r="K30" i="11" s="1"/>
  <c r="J23" i="11"/>
  <c r="K23" i="11"/>
  <c r="J21" i="11"/>
  <c r="K21" i="11" s="1"/>
  <c r="J19" i="11"/>
  <c r="K19" i="11"/>
  <c r="J17" i="11"/>
  <c r="K17" i="11" s="1"/>
  <c r="J10" i="11"/>
  <c r="K10" i="11" s="1"/>
  <c r="J8" i="11"/>
  <c r="K8" i="11" s="1"/>
  <c r="C21" i="2"/>
  <c r="C22" i="2"/>
  <c r="B21" i="2"/>
  <c r="B22" i="2" s="1"/>
  <c r="K21" i="4"/>
  <c r="K22" i="4" s="1"/>
  <c r="I21" i="4"/>
  <c r="I22" i="4" s="1"/>
  <c r="D59" i="4"/>
  <c r="D60" i="4"/>
  <c r="C59" i="4"/>
  <c r="C60" i="4" s="1"/>
  <c r="D53" i="4"/>
  <c r="D54" i="4"/>
  <c r="C53" i="4"/>
  <c r="C54" i="4" s="1"/>
  <c r="D30" i="4"/>
  <c r="D31" i="4" s="1"/>
  <c r="C30" i="4"/>
  <c r="C31" i="4" s="1"/>
  <c r="G21" i="4"/>
  <c r="G22" i="4" s="1"/>
  <c r="D21" i="4"/>
  <c r="D22" i="4" s="1"/>
  <c r="C21" i="4"/>
  <c r="C22" i="4"/>
  <c r="D45" i="4"/>
  <c r="D27" i="4"/>
  <c r="D42" i="4"/>
  <c r="D35" i="4"/>
  <c r="D39" i="4"/>
  <c r="D36" i="4"/>
  <c r="D48" i="4"/>
  <c r="D52" i="4"/>
  <c r="E5" i="2"/>
  <c r="E2" i="2"/>
  <c r="F2" i="2"/>
  <c r="E23" i="13" l="1"/>
  <c r="E22" i="13"/>
  <c r="D54" i="14"/>
  <c r="D45" i="14"/>
  <c r="D46" i="14"/>
  <c r="D43" i="14"/>
  <c r="D40" i="14"/>
  <c r="D49" i="14"/>
  <c r="D50" i="14"/>
  <c r="D47" i="14"/>
  <c r="D44" i="14"/>
  <c r="D37" i="14"/>
  <c r="D38" i="14"/>
  <c r="D35" i="14"/>
  <c r="D51" i="14"/>
  <c r="D48" i="14"/>
  <c r="C31" i="16"/>
  <c r="D28" i="16"/>
  <c r="D29" i="16"/>
  <c r="F21" i="17"/>
  <c r="F23" i="17" s="1"/>
  <c r="D42" i="14"/>
  <c r="F22" i="13"/>
  <c r="D52" i="21"/>
  <c r="C31" i="15"/>
  <c r="D27" i="15"/>
  <c r="D28" i="15"/>
  <c r="H22" i="12"/>
  <c r="F22" i="12" s="1"/>
  <c r="F21" i="12"/>
  <c r="F23" i="12" s="1"/>
  <c r="F3" i="16"/>
  <c r="J21" i="25"/>
  <c r="F8" i="25"/>
  <c r="D38" i="4"/>
  <c r="D47" i="4"/>
  <c r="D29" i="4"/>
  <c r="D41" i="4"/>
  <c r="E22" i="15"/>
  <c r="D52" i="14"/>
  <c r="D41" i="14"/>
  <c r="C31" i="12"/>
  <c r="D27" i="12"/>
  <c r="D28" i="12"/>
  <c r="C54" i="13"/>
  <c r="D38" i="13"/>
  <c r="D35" i="13"/>
  <c r="D51" i="13"/>
  <c r="D48" i="13"/>
  <c r="D42" i="13"/>
  <c r="D39" i="13"/>
  <c r="D36" i="13"/>
  <c r="D52" i="13"/>
  <c r="D41" i="13"/>
  <c r="D45" i="13"/>
  <c r="D49" i="13"/>
  <c r="D37" i="13"/>
  <c r="D46" i="13"/>
  <c r="D43" i="13"/>
  <c r="D40" i="13"/>
  <c r="C54" i="17"/>
  <c r="D42" i="17"/>
  <c r="D46" i="17"/>
  <c r="D49" i="17"/>
  <c r="D47" i="17"/>
  <c r="D44" i="17"/>
  <c r="D38" i="17"/>
  <c r="D37" i="17"/>
  <c r="D35" i="17"/>
  <c r="D51" i="17"/>
  <c r="D48" i="17"/>
  <c r="D50" i="17"/>
  <c r="D41" i="17"/>
  <c r="D39" i="17"/>
  <c r="D36" i="17"/>
  <c r="D52" i="17"/>
  <c r="F21" i="16"/>
  <c r="F23" i="16" s="1"/>
  <c r="H22" i="16"/>
  <c r="F22" i="16" s="1"/>
  <c r="F10" i="4"/>
  <c r="F10" i="14"/>
  <c r="E21" i="12"/>
  <c r="E22" i="19"/>
  <c r="E23" i="19"/>
  <c r="C31" i="19"/>
  <c r="D29" i="19"/>
  <c r="D27" i="19"/>
  <c r="C54" i="21"/>
  <c r="D40" i="21"/>
  <c r="D50" i="21"/>
  <c r="D43" i="21"/>
  <c r="D38" i="21"/>
  <c r="D49" i="21"/>
  <c r="D44" i="21"/>
  <c r="D48" i="21"/>
  <c r="H22" i="21"/>
  <c r="F22" i="21" s="1"/>
  <c r="F21" i="21"/>
  <c r="F23" i="21" s="1"/>
  <c r="E23" i="25"/>
  <c r="E21" i="27"/>
  <c r="C31" i="27"/>
  <c r="D29" i="27"/>
  <c r="D54" i="27"/>
  <c r="D51" i="27"/>
  <c r="D47" i="27"/>
  <c r="D43" i="27"/>
  <c r="D39" i="27"/>
  <c r="D35" i="27"/>
  <c r="D50" i="27"/>
  <c r="D46" i="27"/>
  <c r="D42" i="27"/>
  <c r="D38" i="27"/>
  <c r="D49" i="27"/>
  <c r="D45" i="27"/>
  <c r="D41" i="27"/>
  <c r="D37" i="27"/>
  <c r="E23" i="17"/>
  <c r="E22" i="17"/>
  <c r="F18" i="4"/>
  <c r="F18" i="25"/>
  <c r="D51" i="4"/>
  <c r="D28" i="4"/>
  <c r="D44" i="4"/>
  <c r="D50" i="4"/>
  <c r="D40" i="4"/>
  <c r="D43" i="4"/>
  <c r="D46" i="4"/>
  <c r="D37" i="4"/>
  <c r="D49" i="4"/>
  <c r="D36" i="14"/>
  <c r="D27" i="16"/>
  <c r="H22" i="14"/>
  <c r="F22" i="14" s="1"/>
  <c r="F21" i="14"/>
  <c r="F23" i="14" s="1"/>
  <c r="E21" i="14"/>
  <c r="E21" i="21"/>
  <c r="D51" i="21"/>
  <c r="D21" i="2"/>
  <c r="D22" i="2" s="1"/>
  <c r="D46" i="15"/>
  <c r="L21" i="14"/>
  <c r="L22" i="14" s="1"/>
  <c r="L21" i="17"/>
  <c r="L22" i="17" s="1"/>
  <c r="F22" i="17" s="1"/>
  <c r="F14" i="14"/>
  <c r="D37" i="21"/>
  <c r="D42" i="21"/>
  <c r="D47" i="21"/>
  <c r="D54" i="21"/>
  <c r="D31" i="25"/>
  <c r="D50" i="25"/>
  <c r="D28" i="27"/>
  <c r="D38" i="12"/>
  <c r="F5" i="14"/>
  <c r="D38" i="25"/>
  <c r="E21" i="4"/>
  <c r="E23" i="4" s="1"/>
  <c r="F17" i="4"/>
  <c r="F8" i="14"/>
  <c r="F9" i="16"/>
  <c r="F15" i="17"/>
  <c r="D39" i="21"/>
  <c r="D45" i="21"/>
  <c r="E22" i="28"/>
  <c r="E22" i="4" l="1"/>
  <c r="E22" i="27"/>
  <c r="E23" i="27"/>
  <c r="E23" i="12"/>
  <c r="E22" i="12"/>
  <c r="F21" i="25"/>
  <c r="F23" i="25" s="1"/>
  <c r="J22" i="25"/>
  <c r="F22" i="25" s="1"/>
  <c r="L21" i="4"/>
  <c r="L22" i="4" s="1"/>
  <c r="F3" i="4"/>
  <c r="E22" i="21"/>
  <c r="E23" i="21"/>
  <c r="E23" i="14"/>
  <c r="E22" i="14"/>
  <c r="F8" i="4"/>
  <c r="J21" i="4"/>
  <c r="J22" i="4" l="1"/>
  <c r="F22" i="4" s="1"/>
  <c r="F21" i="4"/>
  <c r="F2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TIA Michel</author>
  </authors>
  <commentList>
    <comment ref="B16" authorId="0" shapeId="0" xr:uid="{00000000-0006-0000-0000-000001000000}">
      <text>
        <r>
          <rPr>
            <sz val="9"/>
            <color indexed="81"/>
            <rFont val="Tahoma"/>
            <family val="2"/>
          </rPr>
          <t>Distribution of NFI kits</t>
        </r>
      </text>
    </comment>
    <comment ref="C1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Emergency shelter
</t>
        </r>
      </text>
    </comment>
    <comment ref="B17" authorId="0" shapeId="0" xr:uid="{00000000-0006-0000-0000-000003000000}">
      <text>
        <r>
          <rPr>
            <sz val="9"/>
            <color indexed="81"/>
            <rFont val="Tahoma"/>
            <family val="2"/>
          </rPr>
          <t>NFI replenishment</t>
        </r>
      </text>
    </comment>
    <comment ref="C17" authorId="0" shapeId="0" xr:uid="{00000000-0006-0000-0000-000004000000}">
      <text>
        <r>
          <rPr>
            <sz val="9"/>
            <color indexed="81"/>
            <rFont val="Tahoma"/>
            <family val="2"/>
          </rPr>
          <t>Tents replacement</t>
        </r>
      </text>
    </comment>
    <comment ref="C18" authorId="0" shapeId="0" xr:uid="{00000000-0006-0000-0000-000005000000}">
      <text>
        <r>
          <rPr>
            <sz val="9"/>
            <color indexed="81"/>
            <rFont val="Tahoma"/>
            <family val="2"/>
          </rPr>
          <t>Shelter upgrade with concrete slabs</t>
        </r>
      </text>
    </comment>
    <comment ref="C19" authorId="0" shapeId="0" xr:uid="{00000000-0006-0000-0000-000006000000}">
      <text>
        <r>
          <rPr>
            <sz val="9"/>
            <color indexed="81"/>
            <rFont val="Tahoma"/>
            <family val="2"/>
          </rPr>
          <t>Basic shelter repair / upgrade</t>
        </r>
      </text>
    </comment>
    <comment ref="C20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repair of heavily damaged
houses
</t>
        </r>
      </text>
    </comment>
  </commentList>
</comments>
</file>

<file path=xl/sharedStrings.xml><?xml version="1.0" encoding="utf-8"?>
<sst xmlns="http://schemas.openxmlformats.org/spreadsheetml/2006/main" count="2369" uniqueCount="152">
  <si>
    <t>IQ-G16</t>
  </si>
  <si>
    <t>Wassit</t>
  </si>
  <si>
    <t>IQ-G09</t>
  </si>
  <si>
    <t>Thi-Qar</t>
  </si>
  <si>
    <t>IQ-G05</t>
  </si>
  <si>
    <t>Sulaymaniyah</t>
  </si>
  <si>
    <t>IQ-G18</t>
  </si>
  <si>
    <t>Salah al-Din</t>
  </si>
  <si>
    <t>IQ-G04</t>
  </si>
  <si>
    <t>Qadissiya</t>
  </si>
  <si>
    <t>IQ-G15</t>
  </si>
  <si>
    <t>Ninewa</t>
  </si>
  <si>
    <t>IQ-G17</t>
  </si>
  <si>
    <t>Najaf</t>
  </si>
  <si>
    <t>IQ-G03</t>
  </si>
  <si>
    <t>Muthanna</t>
  </si>
  <si>
    <t>IQ-G14</t>
  </si>
  <si>
    <t>Missan</t>
  </si>
  <si>
    <t>IQ-G13</t>
  </si>
  <si>
    <t>Kirkuk</t>
  </si>
  <si>
    <t>IQ-G12</t>
  </si>
  <si>
    <t>Kerbala</t>
  </si>
  <si>
    <t>IQ-G11</t>
  </si>
  <si>
    <t>Erbil</t>
  </si>
  <si>
    <t>IQ-G10</t>
  </si>
  <si>
    <t>Diyala</t>
  </si>
  <si>
    <t>IQ-G08</t>
  </si>
  <si>
    <t>Dahuk</t>
  </si>
  <si>
    <t>IQ-G02</t>
  </si>
  <si>
    <t>Basrah</t>
  </si>
  <si>
    <t>IQ-G07</t>
  </si>
  <si>
    <t>Baghdad</t>
  </si>
  <si>
    <t>IQ-G06</t>
  </si>
  <si>
    <t>Babylon</t>
  </si>
  <si>
    <t>IQ-G01</t>
  </si>
  <si>
    <t>Anbar</t>
  </si>
  <si>
    <t>Full Response</t>
  </si>
  <si>
    <t>Second Line</t>
  </si>
  <si>
    <t>First Line</t>
  </si>
  <si>
    <t>Target</t>
  </si>
  <si>
    <t>Admin 1 Code</t>
  </si>
  <si>
    <t>Governerate</t>
  </si>
  <si>
    <t>PEOPLE IN NEED</t>
  </si>
  <si>
    <t>Total Individuals</t>
  </si>
  <si>
    <t>Total Households</t>
  </si>
  <si>
    <r>
      <t xml:space="preserve">Rest </t>
    </r>
    <r>
      <rPr>
        <b/>
        <sz val="10"/>
        <color theme="1"/>
        <rFont val="Arial"/>
        <family val="2"/>
      </rPr>
      <t>of Iraq</t>
    </r>
  </si>
  <si>
    <t>KRI</t>
  </si>
  <si>
    <t>Mosul</t>
  </si>
  <si>
    <t># People targeted</t>
  </si>
  <si>
    <t># of partners with approved projects in the HRP</t>
  </si>
  <si>
    <t>Financial requirements</t>
  </si>
  <si>
    <t>Cluster coordinator name and email address:</t>
  </si>
  <si>
    <t>Richard Evans</t>
  </si>
  <si>
    <t>coord.iraq@sheltercluster.org</t>
  </si>
  <si>
    <t>Cluster co-coordinator name and email address:</t>
  </si>
  <si>
    <t>Michael Gloeckle</t>
  </si>
  <si>
    <t>coord2.iraq@sheltercluster.org</t>
  </si>
  <si>
    <t>Total</t>
  </si>
  <si>
    <t>KR-I</t>
  </si>
  <si>
    <t>Rest of Iraq</t>
  </si>
  <si>
    <t>Mosul / Ninewa</t>
  </si>
  <si>
    <t>Objective 1 / 1st line response</t>
  </si>
  <si>
    <t>Objective 3 / Full response</t>
  </si>
  <si>
    <t>Objective 2 / 2nd line response</t>
  </si>
  <si>
    <t>NFI (ind.)</t>
  </si>
  <si>
    <t>Shelter (Ind.)</t>
  </si>
  <si>
    <t>Total (Ind.)</t>
  </si>
  <si>
    <t>Target per indicators as in 2017 HRP</t>
  </si>
  <si>
    <t>Total (HH.)</t>
  </si>
  <si>
    <t>Cluster Objective 1:</t>
  </si>
  <si>
    <t>Provide safe, appropriate emergency shelter and distribute critical life-saving non-food items to vulnerable populations in priority locations</t>
  </si>
  <si>
    <t>Supporting Strategic Objectives:</t>
  </si>
  <si>
    <t>SO1, SO2</t>
  </si>
  <si>
    <t>Indicator:</t>
  </si>
  <si>
    <t>Activities</t>
  </si>
  <si>
    <t>In Need</t>
  </si>
  <si>
    <t>Governorate</t>
  </si>
  <si>
    <t>Baseline</t>
  </si>
  <si>
    <t>HH/people</t>
  </si>
  <si>
    <t>Male</t>
  </si>
  <si>
    <t>Female</t>
  </si>
  <si>
    <t>Reached</t>
  </si>
  <si>
    <t>No of people supported through the provision of emergency shelter</t>
  </si>
  <si>
    <t>Provision of tents and emergency shelter kits</t>
  </si>
  <si>
    <t>IDPs, Returnees</t>
  </si>
  <si>
    <t>All governorates</t>
  </si>
  <si>
    <t>56,603/339,618</t>
  </si>
  <si>
    <t>No of people supported through of the distribution NFI kits</t>
  </si>
  <si>
    <t>Distributing non-food item kits (Mobile or Basic, Seasonal Top-up or clothing)</t>
  </si>
  <si>
    <t>IDPs, Returnees, Stayees, Hosts</t>
  </si>
  <si>
    <t>212,818/1,276,909</t>
  </si>
  <si>
    <t>Cluster Objective 2:</t>
  </si>
  <si>
    <t>Upgrade and repair basic shelters and replenish core household items for vulnerable populations.</t>
  </si>
  <si>
    <t>SO1, SO2, SO3</t>
  </si>
  <si>
    <t>No of people supported with tent replacements</t>
  </si>
  <si>
    <t>Replacing degraded and damaged tents</t>
  </si>
  <si>
    <t>IDPs</t>
  </si>
  <si>
    <t>6,944/41,664</t>
  </si>
  <si>
    <t>No of people supported with shelter upgrade with concrete slabs.</t>
  </si>
  <si>
    <t>Upgrading shelter plots (in existing camp)</t>
  </si>
  <si>
    <t>11,925/71,550</t>
  </si>
  <si>
    <t>No of people supported with basic shelter upgrades or repair</t>
  </si>
  <si>
    <t>Upgrade and repair basic shelters  for vulnerable populations</t>
  </si>
  <si>
    <t>23,899/143,394</t>
  </si>
  <si>
    <t>No of people supported with replenishment of core household items</t>
  </si>
  <si>
    <t>Replenish core household items for vulnerable populations</t>
  </si>
  <si>
    <t>8,976/53,856</t>
  </si>
  <si>
    <t>Cluster Objective 3:</t>
  </si>
  <si>
    <t>Expand safe, dignified shelter and housing options for vulnerable households in accordance with agreed standards.</t>
  </si>
  <si>
    <t>SO2, SO3</t>
  </si>
  <si>
    <t>No of people supported with safe, dignified shelter and housing options through repair of heavily damaged houses</t>
  </si>
  <si>
    <t>Upgrade or Repair Unfinished and Abandoned / War Damaged buildings</t>
  </si>
  <si>
    <t> All governorates</t>
  </si>
  <si>
    <t>6,608/39,648</t>
  </si>
  <si>
    <t xml:space="preserve">Monitoring Matrix | Objectives Indicators  </t>
  </si>
  <si>
    <r>
      <t xml:space="preserve">These are Cluster overall achievements per objectives and indicators. </t>
    </r>
    <r>
      <rPr>
        <sz val="11"/>
        <color rgb="FFC00000"/>
        <rFont val="Calibri"/>
        <family val="2"/>
        <scheme val="minor"/>
      </rPr>
      <t xml:space="preserve">However major gaps to be considered remain at governorate level. </t>
    </r>
  </si>
  <si>
    <t>HH</t>
  </si>
  <si>
    <t>Ind.</t>
  </si>
  <si>
    <t>Update</t>
  </si>
  <si>
    <t>NFI</t>
  </si>
  <si>
    <t>Shelter</t>
  </si>
  <si>
    <t>NFI3</t>
  </si>
  <si>
    <t>Emergency NFI</t>
  </si>
  <si>
    <t>Emergency Shelter</t>
  </si>
  <si>
    <t>Cluster response since Jan.17</t>
  </si>
  <si>
    <t xml:space="preserve">NFI Replenishment </t>
  </si>
  <si>
    <t>Shelter Upgrade/Repair</t>
  </si>
  <si>
    <t>Shelter and housing options</t>
  </si>
  <si>
    <t>Cluster response Jan.17</t>
  </si>
  <si>
    <t>Cluster response Feb.17</t>
  </si>
  <si>
    <t>Cluster response Mar.17</t>
  </si>
  <si>
    <t>Cluster response Apr.17</t>
  </si>
  <si>
    <t>Cluster response Mai.17</t>
  </si>
  <si>
    <t>Cluster response Jun.17</t>
  </si>
  <si>
    <t>Coverage against target</t>
  </si>
  <si>
    <t>Cluster response Jul.17</t>
  </si>
  <si>
    <t>Summary Since Jan.17</t>
  </si>
  <si>
    <t>Cluster response Aug.17</t>
  </si>
  <si>
    <t xml:space="preserve">CONSOLIDATED - 2017 PMR </t>
  </si>
  <si>
    <t>Cluster response Sept.17</t>
  </si>
  <si>
    <t xml:space="preserve">Significant increase due to </t>
  </si>
  <si>
    <t>MoDM interventions in Esian, Bardarash, Chamishku, Kabarto 1&amp;2 and Mamilian Camps</t>
  </si>
  <si>
    <t>Upgrade or Repair (Unfinished and Abandoned / War Damaged) buildings</t>
  </si>
  <si>
    <t>Cluster response Oct.17</t>
  </si>
  <si>
    <t>Cluster response Nov.17</t>
  </si>
  <si>
    <t>Very Good update on NFI Replenishment (in Erbil)</t>
  </si>
  <si>
    <t>Cluster response Dec.17</t>
  </si>
  <si>
    <t>NFI response</t>
  </si>
  <si>
    <t>Shelter response</t>
  </si>
  <si>
    <t>HRP</t>
  </si>
  <si>
    <t>Non HRP</t>
  </si>
  <si>
    <t>HRP &amp; Non-HRP coverage out of the 2017 Cluster overall achievements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</si>
</sst>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m\-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color rgb="FF0070C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8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B8CCE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3" fillId="2" borderId="0" xfId="0" applyFont="1" applyFill="1" applyAlignment="1">
      <alignment horizontal="left"/>
    </xf>
    <xf numFmtId="0" fontId="4" fillId="0" borderId="1" xfId="2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1" xfId="1" applyNumberFormat="1" applyFont="1" applyBorder="1" applyAlignment="1">
      <alignment horizontal="right" vertical="top"/>
    </xf>
    <xf numFmtId="164" fontId="1" fillId="0" borderId="1" xfId="1" applyNumberFormat="1" applyFont="1" applyBorder="1" applyAlignment="1">
      <alignment horizontal="right" vertical="top"/>
    </xf>
    <xf numFmtId="164" fontId="0" fillId="0" borderId="0" xfId="0" applyNumberFormat="1" applyFont="1"/>
    <xf numFmtId="0" fontId="4" fillId="3" borderId="2" xfId="2" applyFont="1" applyFill="1" applyBorder="1" applyAlignment="1">
      <alignment horizontal="left" wrapText="1"/>
    </xf>
    <xf numFmtId="164" fontId="0" fillId="3" borderId="2" xfId="1" applyNumberFormat="1" applyFont="1" applyFill="1" applyBorder="1" applyAlignment="1">
      <alignment horizontal="right" vertical="top"/>
    </xf>
    <xf numFmtId="0" fontId="4" fillId="4" borderId="1" xfId="2" applyFont="1" applyFill="1" applyBorder="1" applyAlignment="1">
      <alignment horizontal="left" wrapText="1"/>
    </xf>
    <xf numFmtId="164" fontId="0" fillId="4" borderId="1" xfId="1" applyNumberFormat="1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3" borderId="5" xfId="2" applyNumberFormat="1" applyFont="1" applyFill="1" applyBorder="1" applyAlignment="1">
      <alignment horizontal="left" wrapText="1"/>
    </xf>
    <xf numFmtId="164" fontId="0" fillId="3" borderId="5" xfId="1" applyNumberFormat="1" applyFont="1" applyFill="1" applyBorder="1" applyAlignment="1">
      <alignment horizontal="right" vertical="top"/>
    </xf>
    <xf numFmtId="0" fontId="4" fillId="4" borderId="1" xfId="2" applyNumberFormat="1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1" xfId="2" applyNumberFormat="1" applyFont="1" applyBorder="1" applyAlignment="1">
      <alignment horizontal="left" wrapText="1"/>
    </xf>
    <xf numFmtId="164" fontId="12" fillId="0" borderId="1" xfId="1" applyNumberFormat="1" applyFont="1" applyBorder="1" applyAlignment="1">
      <alignment horizontal="right" vertical="top"/>
    </xf>
    <xf numFmtId="0" fontId="13" fillId="2" borderId="4" xfId="0" applyFont="1" applyFill="1" applyBorder="1" applyAlignment="1">
      <alignment horizontal="left" vertical="center"/>
    </xf>
    <xf numFmtId="0" fontId="11" fillId="5" borderId="1" xfId="2" applyNumberFormat="1" applyFont="1" applyFill="1" applyBorder="1" applyAlignment="1">
      <alignment horizontal="left" wrapText="1"/>
    </xf>
    <xf numFmtId="164" fontId="12" fillId="5" borderId="1" xfId="1" applyNumberFormat="1" applyFont="1" applyFill="1" applyBorder="1" applyAlignment="1">
      <alignment horizontal="right" vertical="top"/>
    </xf>
    <xf numFmtId="0" fontId="11" fillId="0" borderId="1" xfId="2" applyFont="1" applyFill="1" applyBorder="1" applyAlignment="1">
      <alignment horizontal="left" wrapText="1"/>
    </xf>
    <xf numFmtId="0" fontId="14" fillId="5" borderId="1" xfId="2" applyNumberFormat="1" applyFont="1" applyFill="1" applyBorder="1" applyAlignment="1">
      <alignment horizontal="left" wrapText="1"/>
    </xf>
    <xf numFmtId="164" fontId="15" fillId="5" borderId="1" xfId="1" applyNumberFormat="1" applyFont="1" applyFill="1" applyBorder="1" applyAlignment="1">
      <alignment horizontal="right" vertical="top"/>
    </xf>
    <xf numFmtId="0" fontId="16" fillId="0" borderId="1" xfId="2" applyFont="1" applyFill="1" applyBorder="1" applyAlignment="1">
      <alignment horizontal="left" wrapText="1"/>
    </xf>
    <xf numFmtId="164" fontId="17" fillId="0" borderId="1" xfId="1" applyNumberFormat="1" applyFont="1" applyBorder="1" applyAlignment="1">
      <alignment horizontal="right" vertical="top"/>
    </xf>
    <xf numFmtId="0" fontId="17" fillId="0" borderId="0" xfId="0" applyFont="1" applyAlignment="1">
      <alignment horizontal="left"/>
    </xf>
    <xf numFmtId="0" fontId="16" fillId="0" borderId="1" xfId="2" applyNumberFormat="1" applyFont="1" applyBorder="1" applyAlignment="1">
      <alignment horizontal="left" wrapText="1"/>
    </xf>
    <xf numFmtId="0" fontId="16" fillId="5" borderId="1" xfId="2" applyNumberFormat="1" applyFont="1" applyFill="1" applyBorder="1" applyAlignment="1">
      <alignment horizontal="left" wrapText="1"/>
    </xf>
    <xf numFmtId="164" fontId="17" fillId="5" borderId="1" xfId="1" applyNumberFormat="1" applyFont="1" applyFill="1" applyBorder="1" applyAlignment="1">
      <alignment horizontal="right" vertical="top"/>
    </xf>
    <xf numFmtId="0" fontId="16" fillId="0" borderId="2" xfId="2" applyFont="1" applyFill="1" applyBorder="1" applyAlignment="1">
      <alignment horizontal="left" wrapText="1"/>
    </xf>
    <xf numFmtId="164" fontId="17" fillId="0" borderId="2" xfId="1" applyNumberFormat="1" applyFont="1" applyBorder="1" applyAlignment="1">
      <alignment horizontal="right" vertical="top"/>
    </xf>
    <xf numFmtId="0" fontId="16" fillId="0" borderId="5" xfId="2" applyNumberFormat="1" applyFont="1" applyBorder="1" applyAlignment="1">
      <alignment horizontal="left" wrapText="1"/>
    </xf>
    <xf numFmtId="164" fontId="17" fillId="0" borderId="5" xfId="1" applyNumberFormat="1" applyFont="1" applyBorder="1" applyAlignment="1">
      <alignment horizontal="right" vertical="top"/>
    </xf>
    <xf numFmtId="0" fontId="18" fillId="0" borderId="1" xfId="2" applyFont="1" applyFill="1" applyBorder="1" applyAlignment="1">
      <alignment horizontal="left" wrapText="1"/>
    </xf>
    <xf numFmtId="164" fontId="19" fillId="0" borderId="1" xfId="1" applyNumberFormat="1" applyFont="1" applyBorder="1" applyAlignment="1">
      <alignment horizontal="right" vertical="top"/>
    </xf>
    <xf numFmtId="0" fontId="17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6" fillId="6" borderId="1" xfId="0" applyFont="1" applyFill="1" applyBorder="1" applyAlignment="1">
      <alignment horizontal="left" vertical="center" wrapText="1"/>
    </xf>
    <xf numFmtId="0" fontId="7" fillId="0" borderId="2" xfId="0" applyFont="1" applyBorder="1"/>
    <xf numFmtId="0" fontId="6" fillId="0" borderId="0" xfId="0" applyFont="1"/>
    <xf numFmtId="3" fontId="20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/>
    <xf numFmtId="0" fontId="6" fillId="0" borderId="6" xfId="0" applyFont="1" applyBorder="1"/>
    <xf numFmtId="6" fontId="21" fillId="0" borderId="1" xfId="0" applyNumberFormat="1" applyFont="1" applyBorder="1" applyAlignment="1">
      <alignment horizontal="right" vertical="center" wrapText="1"/>
    </xf>
    <xf numFmtId="0" fontId="6" fillId="0" borderId="7" xfId="0" applyFont="1" applyBorder="1"/>
    <xf numFmtId="0" fontId="6" fillId="3" borderId="0" xfId="0" applyFont="1" applyFill="1"/>
    <xf numFmtId="0" fontId="6" fillId="8" borderId="0" xfId="0" applyFont="1" applyFill="1"/>
    <xf numFmtId="0" fontId="6" fillId="9" borderId="0" xfId="0" applyFont="1" applyFill="1"/>
    <xf numFmtId="0" fontId="7" fillId="4" borderId="0" xfId="0" applyFont="1" applyFill="1" applyAlignment="1">
      <alignment horizontal="right"/>
    </xf>
    <xf numFmtId="0" fontId="7" fillId="4" borderId="0" xfId="0" applyFont="1" applyFill="1"/>
    <xf numFmtId="164" fontId="7" fillId="4" borderId="0" xfId="0" applyNumberFormat="1" applyFont="1" applyFill="1"/>
    <xf numFmtId="0" fontId="7" fillId="0" borderId="1" xfId="0" applyFont="1" applyBorder="1"/>
    <xf numFmtId="164" fontId="7" fillId="0" borderId="1" xfId="1" applyNumberFormat="1" applyFont="1" applyBorder="1"/>
    <xf numFmtId="0" fontId="7" fillId="0" borderId="9" xfId="0" applyFont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right" vertical="center"/>
    </xf>
    <xf numFmtId="164" fontId="6" fillId="9" borderId="9" xfId="1" applyNumberFormat="1" applyFont="1" applyFill="1" applyBorder="1" applyAlignment="1">
      <alignment horizontal="right" vertical="center"/>
    </xf>
    <xf numFmtId="164" fontId="6" fillId="8" borderId="9" xfId="1" applyNumberFormat="1" applyFont="1" applyFill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164" fontId="6" fillId="3" borderId="6" xfId="1" applyNumberFormat="1" applyFont="1" applyFill="1" applyBorder="1" applyAlignment="1">
      <alignment horizontal="right" vertical="center"/>
    </xf>
    <xf numFmtId="164" fontId="6" fillId="9" borderId="6" xfId="1" applyNumberFormat="1" applyFont="1" applyFill="1" applyBorder="1" applyAlignment="1">
      <alignment horizontal="right" vertical="center"/>
    </xf>
    <xf numFmtId="164" fontId="6" fillId="8" borderId="6" xfId="1" applyNumberFormat="1" applyFont="1" applyFill="1" applyBorder="1" applyAlignment="1">
      <alignment horizontal="right" vertical="center"/>
    </xf>
    <xf numFmtId="164" fontId="6" fillId="0" borderId="7" xfId="1" applyNumberFormat="1" applyFont="1" applyBorder="1" applyAlignment="1">
      <alignment horizontal="right" vertical="center"/>
    </xf>
    <xf numFmtId="164" fontId="6" fillId="0" borderId="8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 vertical="center"/>
    </xf>
    <xf numFmtId="0" fontId="6" fillId="9" borderId="13" xfId="0" applyFont="1" applyFill="1" applyBorder="1"/>
    <xf numFmtId="164" fontId="6" fillId="9" borderId="8" xfId="1" applyNumberFormat="1" applyFont="1" applyFill="1" applyBorder="1" applyAlignment="1">
      <alignment horizontal="right" vertical="center"/>
    </xf>
    <xf numFmtId="164" fontId="6" fillId="9" borderId="2" xfId="1" applyNumberFormat="1" applyFont="1" applyFill="1" applyBorder="1" applyAlignment="1">
      <alignment horizontal="right" vertical="center"/>
    </xf>
    <xf numFmtId="0" fontId="6" fillId="9" borderId="14" xfId="0" applyFont="1" applyFill="1" applyBorder="1"/>
    <xf numFmtId="164" fontId="6" fillId="9" borderId="10" xfId="1" applyNumberFormat="1" applyFont="1" applyFill="1" applyBorder="1" applyAlignment="1">
      <alignment horizontal="right" vertical="center"/>
    </xf>
    <xf numFmtId="164" fontId="6" fillId="9" borderId="7" xfId="1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vertical="center"/>
    </xf>
    <xf numFmtId="0" fontId="24" fillId="11" borderId="1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164" fontId="0" fillId="0" borderId="0" xfId="1" applyNumberFormat="1" applyFont="1"/>
    <xf numFmtId="0" fontId="24" fillId="11" borderId="11" xfId="0" applyFont="1" applyFill="1" applyBorder="1" applyAlignment="1">
      <alignment vertical="center" wrapText="1"/>
    </xf>
    <xf numFmtId="0" fontId="24" fillId="11" borderId="15" xfId="0" applyFont="1" applyFill="1" applyBorder="1" applyAlignment="1">
      <alignment vertical="center" wrapText="1"/>
    </xf>
    <xf numFmtId="0" fontId="24" fillId="11" borderId="12" xfId="0" applyFont="1" applyFill="1" applyBorder="1" applyAlignment="1">
      <alignment vertical="center" wrapText="1"/>
    </xf>
    <xf numFmtId="0" fontId="25" fillId="0" borderId="0" xfId="0" applyFont="1"/>
    <xf numFmtId="15" fontId="25" fillId="0" borderId="0" xfId="0" applyNumberFormat="1" applyFont="1"/>
    <xf numFmtId="0" fontId="24" fillId="10" borderId="1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vertical="center"/>
    </xf>
    <xf numFmtId="164" fontId="0" fillId="0" borderId="1" xfId="1" applyNumberFormat="1" applyFont="1" applyBorder="1" applyAlignment="1">
      <alignment horizontal="left"/>
    </xf>
    <xf numFmtId="164" fontId="0" fillId="0" borderId="7" xfId="1" applyNumberFormat="1" applyFont="1" applyBorder="1" applyAlignment="1">
      <alignment horizontal="left"/>
    </xf>
    <xf numFmtId="164" fontId="0" fillId="0" borderId="7" xfId="1" applyNumberFormat="1" applyFont="1" applyBorder="1" applyAlignment="1">
      <alignment horizontal="right" vertical="top"/>
    </xf>
    <xf numFmtId="0" fontId="26" fillId="2" borderId="1" xfId="0" applyFont="1" applyFill="1" applyBorder="1" applyAlignment="1">
      <alignment horizontal="left" vertical="top"/>
    </xf>
    <xf numFmtId="0" fontId="29" fillId="0" borderId="0" xfId="0" applyFont="1" applyAlignment="1">
      <alignment horizontal="left"/>
    </xf>
    <xf numFmtId="0" fontId="28" fillId="2" borderId="0" xfId="0" applyFont="1" applyFill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9" fontId="31" fillId="12" borderId="1" xfId="0" applyNumberFormat="1" applyFont="1" applyFill="1" applyBorder="1" applyAlignment="1">
      <alignment horizontal="right" vertical="top"/>
    </xf>
    <xf numFmtId="0" fontId="4" fillId="4" borderId="2" xfId="2" applyFont="1" applyFill="1" applyBorder="1" applyAlignment="1">
      <alignment horizontal="left" wrapText="1"/>
    </xf>
    <xf numFmtId="164" fontId="0" fillId="4" borderId="2" xfId="1" applyNumberFormat="1" applyFont="1" applyFill="1" applyBorder="1" applyAlignment="1">
      <alignment horizontal="right" vertical="top"/>
    </xf>
    <xf numFmtId="0" fontId="30" fillId="12" borderId="11" xfId="0" applyNumberFormat="1" applyFont="1" applyFill="1" applyBorder="1" applyAlignment="1" applyProtection="1">
      <alignment horizontal="left" wrapText="1"/>
    </xf>
    <xf numFmtId="0" fontId="30" fillId="12" borderId="15" xfId="0" applyNumberFormat="1" applyFont="1" applyFill="1" applyBorder="1" applyAlignment="1" applyProtection="1">
      <alignment horizontal="left" wrapText="1"/>
    </xf>
    <xf numFmtId="164" fontId="31" fillId="12" borderId="15" xfId="0" applyNumberFormat="1" applyFont="1" applyFill="1" applyBorder="1" applyAlignment="1">
      <alignment horizontal="right" vertical="top"/>
    </xf>
    <xf numFmtId="0" fontId="31" fillId="12" borderId="15" xfId="0" applyFont="1" applyFill="1" applyBorder="1" applyAlignment="1">
      <alignment horizontal="right" vertical="top"/>
    </xf>
    <xf numFmtId="0" fontId="31" fillId="12" borderId="12" xfId="0" applyFont="1" applyFill="1" applyBorder="1" applyAlignment="1">
      <alignment horizontal="left"/>
    </xf>
    <xf numFmtId="0" fontId="24" fillId="10" borderId="1" xfId="0" applyFont="1" applyFill="1" applyBorder="1" applyAlignment="1">
      <alignment vertical="center"/>
    </xf>
    <xf numFmtId="0" fontId="24" fillId="10" borderId="1" xfId="0" applyFont="1" applyFill="1" applyBorder="1" applyAlignment="1">
      <alignment vertical="center" wrapText="1"/>
    </xf>
    <xf numFmtId="166" fontId="32" fillId="2" borderId="0" xfId="0" applyNumberFormat="1" applyFont="1" applyFill="1" applyBorder="1" applyAlignment="1">
      <alignment horizontal="left" vertical="top"/>
    </xf>
    <xf numFmtId="6" fontId="7" fillId="0" borderId="1" xfId="0" applyNumberFormat="1" applyFont="1" applyBorder="1"/>
    <xf numFmtId="0" fontId="4" fillId="12" borderId="11" xfId="0" applyNumberFormat="1" applyFont="1" applyFill="1" applyBorder="1" applyAlignment="1" applyProtection="1">
      <alignment horizontal="left" wrapText="1"/>
    </xf>
    <xf numFmtId="0" fontId="4" fillId="12" borderId="15" xfId="0" applyNumberFormat="1" applyFont="1" applyFill="1" applyBorder="1" applyAlignment="1" applyProtection="1">
      <alignment horizontal="left" wrapText="1"/>
    </xf>
    <xf numFmtId="164" fontId="0" fillId="12" borderId="15" xfId="0" applyNumberFormat="1" applyFont="1" applyFill="1" applyBorder="1" applyAlignment="1">
      <alignment horizontal="right" vertical="top"/>
    </xf>
    <xf numFmtId="9" fontId="0" fillId="12" borderId="1" xfId="0" applyNumberFormat="1" applyFont="1" applyFill="1" applyBorder="1" applyAlignment="1">
      <alignment horizontal="right" vertical="top"/>
    </xf>
    <xf numFmtId="0" fontId="0" fillId="12" borderId="15" xfId="0" applyFont="1" applyFill="1" applyBorder="1" applyAlignment="1">
      <alignment horizontal="right" vertical="top"/>
    </xf>
    <xf numFmtId="0" fontId="0" fillId="12" borderId="12" xfId="0" applyFont="1" applyFill="1" applyBorder="1" applyAlignment="1">
      <alignment horizontal="left"/>
    </xf>
    <xf numFmtId="0" fontId="24" fillId="10" borderId="1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vertical="center"/>
    </xf>
    <xf numFmtId="0" fontId="33" fillId="12" borderId="11" xfId="0" applyNumberFormat="1" applyFont="1" applyFill="1" applyBorder="1" applyAlignment="1" applyProtection="1">
      <alignment horizontal="left" wrapText="1"/>
    </xf>
    <xf numFmtId="0" fontId="33" fillId="12" borderId="15" xfId="0" applyNumberFormat="1" applyFont="1" applyFill="1" applyBorder="1" applyAlignment="1" applyProtection="1">
      <alignment horizontal="left" wrapText="1"/>
    </xf>
    <xf numFmtId="164" fontId="34" fillId="12" borderId="15" xfId="0" applyNumberFormat="1" applyFont="1" applyFill="1" applyBorder="1" applyAlignment="1">
      <alignment horizontal="right" vertical="top"/>
    </xf>
    <xf numFmtId="9" fontId="34" fillId="12" borderId="1" xfId="0" applyNumberFormat="1" applyFont="1" applyFill="1" applyBorder="1" applyAlignment="1">
      <alignment horizontal="right" vertical="top"/>
    </xf>
    <xf numFmtId="0" fontId="34" fillId="12" borderId="15" xfId="0" applyFont="1" applyFill="1" applyBorder="1" applyAlignment="1">
      <alignment horizontal="right" vertical="top"/>
    </xf>
    <xf numFmtId="0" fontId="34" fillId="12" borderId="12" xfId="0" applyFont="1" applyFill="1" applyBorder="1" applyAlignment="1">
      <alignment horizontal="left"/>
    </xf>
    <xf numFmtId="0" fontId="24" fillId="10" borderId="1" xfId="0" applyFont="1" applyFill="1" applyBorder="1" applyAlignment="1">
      <alignment vertical="center"/>
    </xf>
    <xf numFmtId="0" fontId="24" fillId="10" borderId="1" xfId="0" applyFont="1" applyFill="1" applyBorder="1" applyAlignment="1">
      <alignment vertical="center" wrapText="1"/>
    </xf>
    <xf numFmtId="0" fontId="35" fillId="0" borderId="0" xfId="0" applyFont="1"/>
    <xf numFmtId="0" fontId="24" fillId="10" borderId="1" xfId="0" applyFont="1" applyFill="1" applyBorder="1" applyAlignment="1">
      <alignment vertical="center"/>
    </xf>
    <xf numFmtId="0" fontId="24" fillId="10" borderId="1" xfId="0" applyFont="1" applyFill="1" applyBorder="1" applyAlignment="1">
      <alignment vertical="center" wrapText="1"/>
    </xf>
    <xf numFmtId="166" fontId="37" fillId="2" borderId="0" xfId="0" applyNumberFormat="1" applyFont="1" applyFill="1" applyBorder="1" applyAlignment="1">
      <alignment horizontal="left" vertical="top"/>
    </xf>
    <xf numFmtId="0" fontId="38" fillId="12" borderId="11" xfId="0" applyNumberFormat="1" applyFont="1" applyFill="1" applyBorder="1" applyAlignment="1" applyProtection="1">
      <alignment horizontal="left" wrapText="1"/>
    </xf>
    <xf numFmtId="0" fontId="38" fillId="12" borderId="15" xfId="0" applyNumberFormat="1" applyFont="1" applyFill="1" applyBorder="1" applyAlignment="1" applyProtection="1">
      <alignment horizontal="left" wrapText="1"/>
    </xf>
    <xf numFmtId="164" fontId="39" fillId="12" borderId="15" xfId="0" applyNumberFormat="1" applyFont="1" applyFill="1" applyBorder="1" applyAlignment="1">
      <alignment horizontal="right" vertical="top"/>
    </xf>
    <xf numFmtId="9" fontId="39" fillId="12" borderId="1" xfId="0" applyNumberFormat="1" applyFont="1" applyFill="1" applyBorder="1" applyAlignment="1">
      <alignment horizontal="right" vertical="top"/>
    </xf>
    <xf numFmtId="0" fontId="39" fillId="12" borderId="15" xfId="0" applyFont="1" applyFill="1" applyBorder="1" applyAlignment="1">
      <alignment horizontal="right" vertical="top"/>
    </xf>
    <xf numFmtId="0" fontId="39" fillId="12" borderId="12" xfId="0" applyFont="1" applyFill="1" applyBorder="1" applyAlignment="1">
      <alignment horizontal="left"/>
    </xf>
    <xf numFmtId="0" fontId="24" fillId="10" borderId="1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vertical="center"/>
    </xf>
    <xf numFmtId="0" fontId="24" fillId="10" borderId="1" xfId="0" applyFont="1" applyFill="1" applyBorder="1" applyAlignment="1">
      <alignment vertical="center"/>
    </xf>
    <xf numFmtId="0" fontId="24" fillId="10" borderId="1" xfId="0" applyFont="1" applyFill="1" applyBorder="1" applyAlignment="1">
      <alignment vertical="center" wrapText="1"/>
    </xf>
    <xf numFmtId="0" fontId="0" fillId="0" borderId="0" xfId="0" applyFont="1" applyAlignment="1">
      <alignment horizontal="right"/>
    </xf>
    <xf numFmtId="3" fontId="0" fillId="0" borderId="0" xfId="0" applyNumberFormat="1" applyFont="1" applyAlignment="1">
      <alignment horizontal="left"/>
    </xf>
    <xf numFmtId="0" fontId="0" fillId="13" borderId="0" xfId="0" applyFont="1" applyFill="1" applyAlignment="1">
      <alignment horizontal="center"/>
    </xf>
    <xf numFmtId="0" fontId="0" fillId="13" borderId="9" xfId="0" applyFont="1" applyFill="1" applyBorder="1" applyAlignment="1">
      <alignment horizontal="center"/>
    </xf>
    <xf numFmtId="9" fontId="17" fillId="13" borderId="0" xfId="4" applyFont="1" applyFill="1" applyAlignment="1">
      <alignment horizontal="right"/>
    </xf>
    <xf numFmtId="9" fontId="17" fillId="13" borderId="9" xfId="4" applyFont="1" applyFill="1" applyBorder="1" applyAlignment="1">
      <alignment horizontal="right"/>
    </xf>
    <xf numFmtId="0" fontId="0" fillId="15" borderId="0" xfId="0" applyFont="1" applyFill="1" applyAlignment="1">
      <alignment horizontal="center"/>
    </xf>
    <xf numFmtId="9" fontId="17" fillId="15" borderId="0" xfId="4" applyFont="1" applyFill="1" applyAlignment="1">
      <alignment horizontal="right"/>
    </xf>
    <xf numFmtId="3" fontId="0" fillId="0" borderId="0" xfId="0" applyNumberFormat="1" applyFont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9" xfId="1" applyNumberFormat="1" applyFont="1" applyBorder="1" applyAlignment="1">
      <alignment horizontal="right"/>
    </xf>
    <xf numFmtId="164" fontId="17" fillId="0" borderId="13" xfId="1" applyNumberFormat="1" applyFont="1" applyBorder="1" applyAlignment="1">
      <alignment horizontal="right"/>
    </xf>
    <xf numFmtId="164" fontId="17" fillId="0" borderId="8" xfId="1" applyNumberFormat="1" applyFont="1" applyBorder="1" applyAlignment="1">
      <alignment horizontal="right"/>
    </xf>
    <xf numFmtId="0" fontId="6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24" fillId="14" borderId="0" xfId="0" applyFont="1" applyFill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24" fillId="10" borderId="1" xfId="0" applyFont="1" applyFill="1" applyBorder="1" applyAlignment="1">
      <alignment vertical="center"/>
    </xf>
    <xf numFmtId="0" fontId="24" fillId="10" borderId="1" xfId="0" applyFont="1" applyFill="1" applyBorder="1" applyAlignment="1">
      <alignment vertical="center" wrapText="1"/>
    </xf>
    <xf numFmtId="0" fontId="24" fillId="10" borderId="2" xfId="0" applyFont="1" applyFill="1" applyBorder="1" applyAlignment="1">
      <alignment vertical="center"/>
    </xf>
    <xf numFmtId="0" fontId="24" fillId="10" borderId="7" xfId="0" applyFont="1" applyFill="1" applyBorder="1" applyAlignment="1">
      <alignment vertical="center"/>
    </xf>
    <xf numFmtId="0" fontId="24" fillId="10" borderId="2" xfId="0" applyFont="1" applyFill="1" applyBorder="1" applyAlignment="1">
      <alignment vertical="center" wrapText="1"/>
    </xf>
    <xf numFmtId="0" fontId="24" fillId="10" borderId="7" xfId="0" applyFont="1" applyFill="1" applyBorder="1" applyAlignment="1">
      <alignment vertical="center" wrapText="1"/>
    </xf>
    <xf numFmtId="9" fontId="24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0" fontId="24" fillId="8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11" borderId="11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 wrapText="1"/>
    </xf>
    <xf numFmtId="0" fontId="24" fillId="11" borderId="12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4" fillId="8" borderId="7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3" fontId="0" fillId="8" borderId="2" xfId="0" applyNumberFormat="1" applyFont="1" applyFill="1" applyBorder="1" applyAlignment="1">
      <alignment horizontal="right" vertical="center" wrapText="1"/>
    </xf>
    <xf numFmtId="3" fontId="0" fillId="8" borderId="7" xfId="0" applyNumberFormat="1" applyFont="1" applyFill="1" applyBorder="1" applyAlignment="1">
      <alignment horizontal="right" vertical="center" wrapText="1"/>
    </xf>
    <xf numFmtId="164" fontId="0" fillId="8" borderId="2" xfId="1" applyNumberFormat="1" applyFont="1" applyFill="1" applyBorder="1" applyAlignment="1">
      <alignment horizontal="right" vertical="center" wrapText="1"/>
    </xf>
    <xf numFmtId="164" fontId="0" fillId="8" borderId="7" xfId="1" applyNumberFormat="1" applyFont="1" applyFill="1" applyBorder="1" applyAlignment="1">
      <alignment horizontal="right" vertical="center" wrapText="1"/>
    </xf>
    <xf numFmtId="165" fontId="0" fillId="8" borderId="2" xfId="4" applyNumberFormat="1" applyFont="1" applyFill="1" applyBorder="1" applyAlignment="1">
      <alignment horizontal="right" vertical="center"/>
    </xf>
    <xf numFmtId="165" fontId="0" fillId="8" borderId="7" xfId="4" applyNumberFormat="1" applyFont="1" applyFill="1" applyBorder="1" applyAlignment="1">
      <alignment horizontal="right" vertical="center"/>
    </xf>
    <xf numFmtId="165" fontId="12" fillId="8" borderId="2" xfId="4" applyNumberFormat="1" applyFont="1" applyFill="1" applyBorder="1" applyAlignment="1">
      <alignment horizontal="right" vertical="center"/>
    </xf>
    <xf numFmtId="165" fontId="12" fillId="8" borderId="7" xfId="4" applyNumberFormat="1" applyFont="1" applyFill="1" applyBorder="1" applyAlignment="1">
      <alignment horizontal="right" vertical="center"/>
    </xf>
    <xf numFmtId="9" fontId="24" fillId="0" borderId="11" xfId="0" applyNumberFormat="1" applyFont="1" applyBorder="1" applyAlignment="1">
      <alignment horizontal="right" vertical="center" wrapText="1"/>
    </xf>
    <xf numFmtId="3" fontId="0" fillId="8" borderId="1" xfId="0" applyNumberFormat="1" applyFont="1" applyFill="1" applyBorder="1" applyAlignment="1">
      <alignment horizontal="right" vertical="center" wrapText="1"/>
    </xf>
    <xf numFmtId="164" fontId="0" fillId="8" borderId="1" xfId="1" applyNumberFormat="1" applyFont="1" applyFill="1" applyBorder="1" applyAlignment="1">
      <alignment horizontal="right" vertical="center" wrapText="1"/>
    </xf>
    <xf numFmtId="165" fontId="17" fillId="8" borderId="2" xfId="4" applyNumberFormat="1" applyFont="1" applyFill="1" applyBorder="1" applyAlignment="1">
      <alignment horizontal="right" vertical="center"/>
    </xf>
    <xf numFmtId="165" fontId="17" fillId="8" borderId="7" xfId="4" applyNumberFormat="1" applyFont="1" applyFill="1" applyBorder="1" applyAlignment="1">
      <alignment horizontal="right" vertical="center"/>
    </xf>
    <xf numFmtId="164" fontId="0" fillId="8" borderId="21" xfId="1" applyNumberFormat="1" applyFont="1" applyFill="1" applyBorder="1" applyAlignment="1">
      <alignment horizontal="right" vertical="center" wrapText="1"/>
    </xf>
    <xf numFmtId="164" fontId="0" fillId="8" borderId="31" xfId="1" applyNumberFormat="1" applyFont="1" applyFill="1" applyBorder="1" applyAlignment="1">
      <alignment horizontal="right" vertical="center" wrapText="1"/>
    </xf>
    <xf numFmtId="164" fontId="0" fillId="8" borderId="27" xfId="1" applyNumberFormat="1" applyFont="1" applyFill="1" applyBorder="1" applyAlignment="1">
      <alignment horizontal="right" vertical="center" wrapText="1"/>
    </xf>
    <xf numFmtId="165" fontId="12" fillId="8" borderId="22" xfId="4" applyNumberFormat="1" applyFont="1" applyFill="1" applyBorder="1" applyAlignment="1">
      <alignment horizontal="right" vertical="center"/>
    </xf>
    <xf numFmtId="165" fontId="12" fillId="8" borderId="28" xfId="4" applyNumberFormat="1" applyFont="1" applyFill="1" applyBorder="1" applyAlignment="1">
      <alignment horizontal="right" vertical="center"/>
    </xf>
    <xf numFmtId="15" fontId="19" fillId="0" borderId="16" xfId="0" applyNumberFormat="1" applyFont="1" applyBorder="1" applyAlignment="1">
      <alignment horizontal="center"/>
    </xf>
    <xf numFmtId="15" fontId="19" fillId="0" borderId="17" xfId="0" applyNumberFormat="1" applyFont="1" applyBorder="1" applyAlignment="1">
      <alignment horizontal="center"/>
    </xf>
    <xf numFmtId="15" fontId="19" fillId="0" borderId="18" xfId="0" applyNumberFormat="1" applyFont="1" applyBorder="1" applyAlignment="1">
      <alignment horizontal="center"/>
    </xf>
    <xf numFmtId="165" fontId="17" fillId="8" borderId="22" xfId="4" applyNumberFormat="1" applyFont="1" applyFill="1" applyBorder="1" applyAlignment="1">
      <alignment horizontal="right" vertical="center"/>
    </xf>
    <xf numFmtId="165" fontId="17" fillId="8" borderId="23" xfId="4" applyNumberFormat="1" applyFont="1" applyFill="1" applyBorder="1" applyAlignment="1">
      <alignment horizontal="right" vertical="center"/>
    </xf>
    <xf numFmtId="165" fontId="17" fillId="8" borderId="28" xfId="4" applyNumberFormat="1" applyFont="1" applyFill="1" applyBorder="1" applyAlignment="1">
      <alignment horizontal="right" vertical="center"/>
    </xf>
    <xf numFmtId="0" fontId="24" fillId="11" borderId="19" xfId="0" applyFont="1" applyFill="1" applyBorder="1" applyAlignment="1">
      <alignment horizontal="center" vertical="center" wrapText="1"/>
    </xf>
    <xf numFmtId="0" fontId="24" fillId="11" borderId="20" xfId="0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vertical="center" wrapText="1"/>
    </xf>
    <xf numFmtId="0" fontId="24" fillId="8" borderId="22" xfId="0" applyFont="1" applyFill="1" applyBorder="1" applyAlignment="1">
      <alignment horizontal="left" vertical="center" wrapText="1"/>
    </xf>
    <xf numFmtId="0" fontId="24" fillId="8" borderId="23" xfId="0" applyFont="1" applyFill="1" applyBorder="1" applyAlignment="1">
      <alignment horizontal="left" vertical="center" wrapText="1"/>
    </xf>
    <xf numFmtId="165" fontId="12" fillId="8" borderId="23" xfId="4" applyNumberFormat="1" applyFont="1" applyFill="1" applyBorder="1" applyAlignment="1">
      <alignment horizontal="right" vertical="center"/>
    </xf>
    <xf numFmtId="165" fontId="0" fillId="8" borderId="22" xfId="4" applyNumberFormat="1" applyFont="1" applyFill="1" applyBorder="1" applyAlignment="1">
      <alignment horizontal="right" vertical="center"/>
    </xf>
    <xf numFmtId="165" fontId="0" fillId="8" borderId="23" xfId="4" applyNumberFormat="1" applyFont="1" applyFill="1" applyBorder="1" applyAlignment="1">
      <alignment horizontal="right" vertical="center"/>
    </xf>
    <xf numFmtId="3" fontId="0" fillId="8" borderId="21" xfId="0" applyNumberFormat="1" applyFont="1" applyFill="1" applyBorder="1" applyAlignment="1">
      <alignment horizontal="right" vertical="center" wrapText="1"/>
    </xf>
    <xf numFmtId="3" fontId="0" fillId="8" borderId="31" xfId="0" applyNumberFormat="1" applyFont="1" applyFill="1" applyBorder="1" applyAlignment="1">
      <alignment horizontal="right" vertical="center" wrapText="1"/>
    </xf>
    <xf numFmtId="165" fontId="0" fillId="8" borderId="28" xfId="4" applyNumberFormat="1" applyFont="1" applyFill="1" applyBorder="1" applyAlignment="1">
      <alignment horizontal="right" vertical="center"/>
    </xf>
    <xf numFmtId="164" fontId="0" fillId="8" borderId="24" xfId="1" applyNumberFormat="1" applyFont="1" applyFill="1" applyBorder="1" applyAlignment="1">
      <alignment horizontal="right" vertical="center" wrapText="1"/>
    </xf>
    <xf numFmtId="164" fontId="0" fillId="8" borderId="26" xfId="1" applyNumberFormat="1" applyFont="1" applyFill="1" applyBorder="1" applyAlignment="1">
      <alignment horizontal="right" vertical="center" wrapText="1"/>
    </xf>
    <xf numFmtId="164" fontId="0" fillId="8" borderId="25" xfId="1" applyNumberFormat="1" applyFont="1" applyFill="1" applyBorder="1" applyAlignment="1">
      <alignment horizontal="right" vertical="center" wrapText="1"/>
    </xf>
    <xf numFmtId="3" fontId="0" fillId="8" borderId="24" xfId="0" applyNumberFormat="1" applyFont="1" applyFill="1" applyBorder="1" applyAlignment="1">
      <alignment horizontal="right" vertical="center" wrapText="1"/>
    </xf>
    <xf numFmtId="3" fontId="0" fillId="8" borderId="25" xfId="0" applyNumberFormat="1" applyFont="1" applyFill="1" applyBorder="1" applyAlignment="1">
      <alignment horizontal="right" vertical="center" wrapText="1"/>
    </xf>
    <xf numFmtId="3" fontId="0" fillId="8" borderId="26" xfId="0" applyNumberFormat="1" applyFont="1" applyFill="1" applyBorder="1" applyAlignment="1">
      <alignment horizontal="right" vertical="center" wrapText="1"/>
    </xf>
    <xf numFmtId="0" fontId="36" fillId="8" borderId="22" xfId="0" applyFont="1" applyFill="1" applyBorder="1" applyAlignment="1">
      <alignment horizontal="left" vertical="center" wrapText="1"/>
    </xf>
    <xf numFmtId="0" fontId="36" fillId="8" borderId="23" xfId="0" applyFont="1" applyFill="1" applyBorder="1" applyAlignment="1">
      <alignment horizontal="left" vertical="center" wrapText="1"/>
    </xf>
    <xf numFmtId="165" fontId="17" fillId="8" borderId="22" xfId="4" applyNumberFormat="1" applyFont="1" applyFill="1" applyBorder="1" applyAlignment="1">
      <alignment horizontal="center" vertical="center"/>
    </xf>
    <xf numFmtId="165" fontId="17" fillId="8" borderId="28" xfId="4" applyNumberFormat="1" applyFont="1" applyFill="1" applyBorder="1" applyAlignment="1">
      <alignment horizontal="center" vertical="center"/>
    </xf>
    <xf numFmtId="3" fontId="0" fillId="8" borderId="24" xfId="0" applyNumberFormat="1" applyFont="1" applyFill="1" applyBorder="1" applyAlignment="1">
      <alignment horizontal="center" vertical="center" wrapText="1"/>
    </xf>
    <xf numFmtId="3" fontId="0" fillId="8" borderId="25" xfId="0" applyNumberFormat="1" applyFont="1" applyFill="1" applyBorder="1" applyAlignment="1">
      <alignment horizontal="center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164" fontId="0" fillId="8" borderId="7" xfId="1" applyNumberFormat="1" applyFont="1" applyFill="1" applyBorder="1" applyAlignment="1">
      <alignment horizontal="center" vertical="center" wrapText="1"/>
    </xf>
    <xf numFmtId="165" fontId="17" fillId="8" borderId="23" xfId="4" applyNumberFormat="1" applyFont="1" applyFill="1" applyBorder="1" applyAlignment="1">
      <alignment horizontal="center" vertical="center"/>
    </xf>
    <xf numFmtId="3" fontId="0" fillId="8" borderId="26" xfId="0" applyNumberFormat="1" applyFont="1" applyFill="1" applyBorder="1" applyAlignment="1">
      <alignment horizontal="center" vertical="center" wrapText="1"/>
    </xf>
    <xf numFmtId="164" fontId="0" fillId="8" borderId="27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5" fontId="19" fillId="0" borderId="29" xfId="0" applyNumberFormat="1" applyFont="1" applyBorder="1" applyAlignment="1">
      <alignment horizontal="center"/>
    </xf>
    <xf numFmtId="165" fontId="12" fillId="8" borderId="8" xfId="4" applyNumberFormat="1" applyFont="1" applyFill="1" applyBorder="1" applyAlignment="1">
      <alignment horizontal="right" vertical="center"/>
    </xf>
    <xf numFmtId="165" fontId="12" fillId="8" borderId="30" xfId="4" applyNumberFormat="1" applyFont="1" applyFill="1" applyBorder="1" applyAlignment="1">
      <alignment horizontal="right" vertical="center"/>
    </xf>
    <xf numFmtId="165" fontId="17" fillId="8" borderId="8" xfId="4" applyNumberFormat="1" applyFont="1" applyFill="1" applyBorder="1" applyAlignment="1">
      <alignment horizontal="right" vertical="center"/>
    </xf>
    <xf numFmtId="165" fontId="17" fillId="8" borderId="10" xfId="4" applyNumberFormat="1" applyFont="1" applyFill="1" applyBorder="1" applyAlignment="1">
      <alignment horizontal="right" vertical="center"/>
    </xf>
    <xf numFmtId="165" fontId="12" fillId="8" borderId="10" xfId="4" applyNumberFormat="1" applyFont="1" applyFill="1" applyBorder="1" applyAlignment="1">
      <alignment horizontal="right" vertical="center"/>
    </xf>
    <xf numFmtId="0" fontId="24" fillId="10" borderId="11" xfId="0" applyFont="1" applyFill="1" applyBorder="1" applyAlignment="1">
      <alignment vertical="center" wrapText="1"/>
    </xf>
    <xf numFmtId="0" fontId="24" fillId="10" borderId="8" xfId="0" applyFont="1" applyFill="1" applyBorder="1" applyAlignment="1">
      <alignment vertical="center" wrapText="1"/>
    </xf>
    <xf numFmtId="0" fontId="24" fillId="10" borderId="10" xfId="0" applyFont="1" applyFill="1" applyBorder="1" applyAlignment="1">
      <alignment vertical="center" wrapText="1"/>
    </xf>
    <xf numFmtId="0" fontId="36" fillId="8" borderId="8" xfId="0" applyFont="1" applyFill="1" applyBorder="1" applyAlignment="1">
      <alignment horizontal="left" vertical="center" wrapText="1"/>
    </xf>
    <xf numFmtId="0" fontId="36" fillId="8" borderId="10" xfId="0" applyFont="1" applyFill="1" applyBorder="1" applyAlignment="1">
      <alignment horizontal="left" vertical="center" wrapText="1"/>
    </xf>
  </cellXfs>
  <cellStyles count="5">
    <cellStyle name="Comma" xfId="1" builtinId="3"/>
    <cellStyle name="Hyperlink" xfId="3" builtinId="8"/>
    <cellStyle name="Normal" xfId="0" builtinId="0"/>
    <cellStyle name="Normal_Sheet1" xfId="2" xr:uid="{00000000-0005-0000-0000-000003000000}"/>
    <cellStyle name="Percent" xfId="4" builtinId="5"/>
  </cellStyles>
  <dxfs count="3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IRAQ Shelter Cluster response</a:t>
            </a:r>
            <a:r>
              <a:rPr lang="en-IN" baseline="0"/>
              <a:t> from January to December </a:t>
            </a:r>
            <a:r>
              <a:rPr lang="en-IN"/>
              <a:t>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'Consolidated 2017_Response'!$D$2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'Consolidated 2017_Response'!$A$3:$A$20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'Consolidated 2017_Response'!$D$3:$D$20</c:f>
              <c:numCache>
                <c:formatCode>_(* #,##0_);_(* \(#,##0\);_(* "-"??_);_(@_)</c:formatCode>
                <c:ptCount val="18"/>
                <c:pt idx="0">
                  <c:v>490242.11595303135</c:v>
                </c:pt>
                <c:pt idx="1">
                  <c:v>10095.265989212441</c:v>
                </c:pt>
                <c:pt idx="2">
                  <c:v>90444.685426006967</c:v>
                </c:pt>
                <c:pt idx="3">
                  <c:v>1352.846081465309</c:v>
                </c:pt>
                <c:pt idx="4">
                  <c:v>262285.4914534979</c:v>
                </c:pt>
                <c:pt idx="5">
                  <c:v>108710.08073331327</c:v>
                </c:pt>
                <c:pt idx="6">
                  <c:v>222025.81081192615</c:v>
                </c:pt>
                <c:pt idx="7">
                  <c:v>14127.112748623869</c:v>
                </c:pt>
                <c:pt idx="8">
                  <c:v>166971.90098599586</c:v>
                </c:pt>
                <c:pt idx="9">
                  <c:v>1101.655568566242</c:v>
                </c:pt>
                <c:pt idx="10">
                  <c:v>694.51617565309459</c:v>
                </c:pt>
                <c:pt idx="11">
                  <c:v>13873.454268937221</c:v>
                </c:pt>
                <c:pt idx="12">
                  <c:v>648858</c:v>
                </c:pt>
                <c:pt idx="13">
                  <c:v>3796.0049404509668</c:v>
                </c:pt>
                <c:pt idx="14">
                  <c:v>223592.88450771463</c:v>
                </c:pt>
                <c:pt idx="15">
                  <c:v>62580.697734575915</c:v>
                </c:pt>
                <c:pt idx="16">
                  <c:v>1123.569373371771</c:v>
                </c:pt>
                <c:pt idx="17">
                  <c:v>4464.9072476573028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3-439A-A1E7-7F2FF8EAE4B4}"/>
            </c:ext>
          </c:extLst>
        </c:ser>
        <c:ser>
          <c:idx val="1"/>
          <c:order val="1"/>
          <c:tx>
            <c:strRef>
              <c:f>'Consolidated 2017_Response'!$E$2</c:f>
              <c:strCache>
                <c:ptCount val="1"/>
                <c:pt idx="0">
                  <c:v>NFI response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'Consolidated 2017_Response'!$A$3:$A$20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'Consolidated 2017_Response'!$E$3:$E$20</c:f>
              <c:numCache>
                <c:formatCode>_(* #,##0_);_(* \(#,##0\);_(* "-"??_);_(@_)</c:formatCode>
                <c:ptCount val="18"/>
                <c:pt idx="0">
                  <c:v>129534</c:v>
                </c:pt>
                <c:pt idx="1">
                  <c:v>0</c:v>
                </c:pt>
                <c:pt idx="2">
                  <c:v>7260</c:v>
                </c:pt>
                <c:pt idx="3">
                  <c:v>1470</c:v>
                </c:pt>
                <c:pt idx="4">
                  <c:v>11058</c:v>
                </c:pt>
                <c:pt idx="5">
                  <c:v>15882</c:v>
                </c:pt>
                <c:pt idx="6">
                  <c:v>243750</c:v>
                </c:pt>
                <c:pt idx="7">
                  <c:v>0</c:v>
                </c:pt>
                <c:pt idx="8">
                  <c:v>128880</c:v>
                </c:pt>
                <c:pt idx="9">
                  <c:v>36</c:v>
                </c:pt>
                <c:pt idx="10">
                  <c:v>462</c:v>
                </c:pt>
                <c:pt idx="11">
                  <c:v>0</c:v>
                </c:pt>
                <c:pt idx="12">
                  <c:v>1326168</c:v>
                </c:pt>
                <c:pt idx="13">
                  <c:v>1200</c:v>
                </c:pt>
                <c:pt idx="14">
                  <c:v>141894</c:v>
                </c:pt>
                <c:pt idx="15">
                  <c:v>15618</c:v>
                </c:pt>
                <c:pt idx="16">
                  <c:v>1068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3-439A-A1E7-7F2FF8EAE4B4}"/>
            </c:ext>
          </c:extLst>
        </c:ser>
        <c:ser>
          <c:idx val="2"/>
          <c:order val="2"/>
          <c:tx>
            <c:strRef>
              <c:f>'Consolidated 2017_Response'!$F$2</c:f>
              <c:strCache>
                <c:ptCount val="1"/>
                <c:pt idx="0">
                  <c:v>Shelter response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'Consolidated 2017_Response'!$A$3:$A$20</c:f>
              <c:strCache>
                <c:ptCount val="18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Missan</c:v>
                </c:pt>
                <c:pt idx="10">
                  <c:v>Muthanna</c:v>
                </c:pt>
                <c:pt idx="11">
                  <c:v>Najaf</c:v>
                </c:pt>
                <c:pt idx="12">
                  <c:v>Ninewa</c:v>
                </c:pt>
                <c:pt idx="13">
                  <c:v>Qadissiya</c:v>
                </c:pt>
                <c:pt idx="14">
                  <c:v>Salah al-Din</c:v>
                </c:pt>
                <c:pt idx="15">
                  <c:v>Sulaymaniyah</c:v>
                </c:pt>
                <c:pt idx="16">
                  <c:v>Thi-Qar</c:v>
                </c:pt>
                <c:pt idx="17">
                  <c:v>Wassit</c:v>
                </c:pt>
              </c:strCache>
            </c:strRef>
          </c:cat>
          <c:val>
            <c:numRef>
              <c:f>'Consolidated 2017_Response'!$F$3:$F$20</c:f>
              <c:numCache>
                <c:formatCode>_(* #,##0_);_(* \(#,##0\);_(* "-"??_);_(@_)</c:formatCode>
                <c:ptCount val="18"/>
                <c:pt idx="0">
                  <c:v>44058</c:v>
                </c:pt>
                <c:pt idx="1">
                  <c:v>210</c:v>
                </c:pt>
                <c:pt idx="2">
                  <c:v>7482</c:v>
                </c:pt>
                <c:pt idx="3">
                  <c:v>0</c:v>
                </c:pt>
                <c:pt idx="4">
                  <c:v>70386</c:v>
                </c:pt>
                <c:pt idx="5">
                  <c:v>10008</c:v>
                </c:pt>
                <c:pt idx="6">
                  <c:v>132354</c:v>
                </c:pt>
                <c:pt idx="7">
                  <c:v>204</c:v>
                </c:pt>
                <c:pt idx="8">
                  <c:v>145590</c:v>
                </c:pt>
                <c:pt idx="9">
                  <c:v>0</c:v>
                </c:pt>
                <c:pt idx="10">
                  <c:v>0</c:v>
                </c:pt>
                <c:pt idx="11">
                  <c:v>240</c:v>
                </c:pt>
                <c:pt idx="12">
                  <c:v>919620</c:v>
                </c:pt>
                <c:pt idx="13">
                  <c:v>0</c:v>
                </c:pt>
                <c:pt idx="14">
                  <c:v>100236</c:v>
                </c:pt>
                <c:pt idx="15">
                  <c:v>33324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3-439A-A1E7-7F2FF8EA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5166447"/>
        <c:axId val="1273296847"/>
      </c:barChart>
      <c:catAx>
        <c:axId val="127516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3296847"/>
        <c:crosses val="autoZero"/>
        <c:auto val="1"/>
        <c:lblAlgn val="ctr"/>
        <c:lblOffset val="100"/>
        <c:noMultiLvlLbl val="0"/>
      </c:catAx>
      <c:valAx>
        <c:axId val="127329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166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119063</xdr:colOff>
      <xdr:row>25</xdr:row>
      <xdr:rowOff>11906</xdr:rowOff>
    </xdr:from>
    <xdr:to>
      <xdr:col>12</xdr:col>
      <xdr:colOff>535780</xdr:colOff>
      <xdr:row>48</xdr:row>
      <xdr:rowOff>178593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EA9D90-E6A6-4D4E-B0AB-242D4BE9E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142356948" displayName="Table142356948" ref="A2:L23" totalsRowCount="1" headerRowDxfId="350" dataDxfId="349" totalsRowBorderDxfId="348">
  <autoFilter ref="A2:L22" xr:uid="{00000000-0009-0000-0100-000007000000}"/>
  <sortState ref="A3:H20">
    <sortCondition ref="A1:A19"/>
  </sortState>
  <tableColumns count="12">
    <tableColumn id="1" xr3:uid="{00000000-0010-0000-0000-000001000000}" name="Governerate" dataDxfId="347" totalsRowDxfId="346" dataCellStyle="Normal_Sheet1"/>
    <tableColumn id="2" xr3:uid="{00000000-0010-0000-0000-000002000000}" name="Admin 1 Code" dataDxfId="345" totalsRowDxfId="344" dataCellStyle="Normal_Sheet1"/>
    <tableColumn id="5" xr3:uid="{00000000-0010-0000-0000-000005000000}" name="PEOPLE IN NEED" dataDxfId="343" totalsRowDxfId="342" dataCellStyle="Comma"/>
    <tableColumn id="6" xr3:uid="{00000000-0010-0000-0000-000006000000}" name="Target" dataDxfId="341" totalsRowDxfId="340" dataCellStyle="Comma"/>
    <tableColumn id="7" xr3:uid="{00000000-0010-0000-0000-000007000000}" name="NFI" totalsRowFunction="custom" dataDxfId="339" totalsRowDxfId="338" dataCellStyle="Percent">
      <totalsRowFormula>E21/D21</totalsRowFormula>
    </tableColumn>
    <tableColumn id="12" xr3:uid="{00000000-0010-0000-0000-00000C000000}" name="Shelter" totalsRowFunction="custom" dataDxfId="337" totalsRowDxfId="336" dataCellStyle="Percent">
      <calculatedColumnFormula>Table142356948[[#This Row],[Emergency Shelter]]+Table142356948[[#This Row],[Shelter Upgrade/Repair]]+Table142356948[[#This Row],[Shelter and housing options]]</calculatedColumnFormula>
      <totalsRowFormula>F21/D21</totalsRowFormula>
    </tableColumn>
    <tableColumn id="8" xr3:uid="{00000000-0010-0000-0000-000008000000}" name="Emergency NFI" dataDxfId="335" totalsRowDxfId="334"/>
    <tableColumn id="3" xr3:uid="{00000000-0010-0000-0000-000003000000}" name="Emergency Shelter" dataDxfId="333" totalsRowDxfId="332" dataCellStyle="Comma"/>
    <tableColumn id="9" xr3:uid="{00000000-0010-0000-0000-000009000000}" name="NFI Replenishment " dataDxfId="331" totalsRowDxfId="330"/>
    <tableColumn id="4" xr3:uid="{00000000-0010-0000-0000-000004000000}" name="Shelter Upgrade/Repair" dataDxfId="329" totalsRowDxfId="328" dataCellStyle="Comma"/>
    <tableColumn id="10" xr3:uid="{00000000-0010-0000-0000-00000A000000}" name="NFI3" dataDxfId="327" totalsRowDxfId="326"/>
    <tableColumn id="11" xr3:uid="{00000000-0010-0000-0000-00000B000000}" name="Shelter and housing options" dataDxfId="325" totalsRowDxfId="324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14235694810111213142356" displayName="Table14235694810111213142356" ref="A2:L23" totalsRowCount="1" headerRowDxfId="107" dataDxfId="106" totalsRowBorderDxfId="105">
  <autoFilter ref="A2:L22" xr:uid="{00000000-0009-0000-0100-000005000000}"/>
  <sortState ref="A3:H20">
    <sortCondition ref="A1:A19"/>
  </sortState>
  <tableColumns count="12">
    <tableColumn id="1" xr3:uid="{00000000-0010-0000-0900-000001000000}" name="Governerate" dataDxfId="104" totalsRowDxfId="103" dataCellStyle="Normal_Sheet1"/>
    <tableColumn id="2" xr3:uid="{00000000-0010-0000-0900-000002000000}" name="Admin 1 Code" dataDxfId="102" totalsRowDxfId="101" dataCellStyle="Normal_Sheet1"/>
    <tableColumn id="5" xr3:uid="{00000000-0010-0000-0900-000005000000}" name="PEOPLE IN NEED" dataDxfId="100" totalsRowDxfId="99" dataCellStyle="Comma"/>
    <tableColumn id="6" xr3:uid="{00000000-0010-0000-0900-000006000000}" name="Target" dataDxfId="98" totalsRowDxfId="97" dataCellStyle="Comma"/>
    <tableColumn id="7" xr3:uid="{00000000-0010-0000-0900-000007000000}" name="NFI" totalsRowFunction="custom" dataDxfId="96" totalsRowDxfId="95" dataCellStyle="Percent">
      <totalsRowFormula>E21/D21</totalsRowFormula>
    </tableColumn>
    <tableColumn id="12" xr3:uid="{00000000-0010-0000-0900-00000C000000}" name="Shelter" totalsRowFunction="custom" dataDxfId="94" totalsRowDxfId="93" dataCellStyle="Percent">
      <calculatedColumnFormula>Table14235694810111213142356[[#This Row],[Emergency Shelter]]+Table14235694810111213142356[[#This Row],[Shelter Upgrade/Repair]]+Table14235694810111213142356[[#This Row],[Shelter and housing options]]</calculatedColumnFormula>
      <totalsRowFormula>F21/D21</totalsRowFormula>
    </tableColumn>
    <tableColumn id="8" xr3:uid="{00000000-0010-0000-0900-000008000000}" name="Emergency NFI" dataDxfId="92" totalsRowDxfId="91"/>
    <tableColumn id="3" xr3:uid="{00000000-0010-0000-0900-000003000000}" name="Emergency Shelter" dataDxfId="90" totalsRowDxfId="89" dataCellStyle="Comma"/>
    <tableColumn id="9" xr3:uid="{00000000-0010-0000-0900-000009000000}" name="NFI Replenishment " dataDxfId="88" totalsRowDxfId="87"/>
    <tableColumn id="4" xr3:uid="{00000000-0010-0000-0900-000004000000}" name="Shelter Upgrade/Repair" dataDxfId="86" totalsRowDxfId="85" dataCellStyle="Comma"/>
    <tableColumn id="10" xr3:uid="{00000000-0010-0000-0900-00000A000000}" name="NFI3" dataDxfId="84" totalsRowDxfId="83"/>
    <tableColumn id="11" xr3:uid="{00000000-0010-0000-0900-00000B000000}" name="Shelter and housing options" dataDxfId="82" totalsRowDxfId="81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e142356948101112131423567" displayName="Table142356948101112131423567" ref="A2:L23" totalsRowCount="1" headerRowDxfId="80" dataDxfId="79" totalsRowBorderDxfId="78">
  <autoFilter ref="A2:L22" xr:uid="{00000000-0009-0000-0100-000006000000}"/>
  <sortState ref="A3:H20">
    <sortCondition ref="A1:A19"/>
  </sortState>
  <tableColumns count="12">
    <tableColumn id="1" xr3:uid="{00000000-0010-0000-0A00-000001000000}" name="Governerate" dataDxfId="77" totalsRowDxfId="76" dataCellStyle="Normal_Sheet1"/>
    <tableColumn id="2" xr3:uid="{00000000-0010-0000-0A00-000002000000}" name="Admin 1 Code" dataDxfId="75" totalsRowDxfId="74" dataCellStyle="Normal_Sheet1"/>
    <tableColumn id="5" xr3:uid="{00000000-0010-0000-0A00-000005000000}" name="PEOPLE IN NEED" dataDxfId="73" totalsRowDxfId="72" dataCellStyle="Comma"/>
    <tableColumn id="6" xr3:uid="{00000000-0010-0000-0A00-000006000000}" name="Target" dataDxfId="71" totalsRowDxfId="70" dataCellStyle="Comma"/>
    <tableColumn id="7" xr3:uid="{00000000-0010-0000-0A00-000007000000}" name="NFI" totalsRowFunction="custom" dataDxfId="69" totalsRowDxfId="68" dataCellStyle="Percent">
      <totalsRowFormula>E21/D21</totalsRowFormula>
    </tableColumn>
    <tableColumn id="12" xr3:uid="{00000000-0010-0000-0A00-00000C000000}" name="Shelter" totalsRowFunction="custom" dataDxfId="67" totalsRowDxfId="66" dataCellStyle="Percent">
      <calculatedColumnFormula>Table142356948101112131423567[[#This Row],[Emergency Shelter]]+Table142356948101112131423567[[#This Row],[Shelter Upgrade/Repair]]+Table142356948101112131423567[[#This Row],[Shelter and housing options]]</calculatedColumnFormula>
      <totalsRowFormula>F21/D21</totalsRowFormula>
    </tableColumn>
    <tableColumn id="8" xr3:uid="{00000000-0010-0000-0A00-000008000000}" name="Emergency NFI" dataDxfId="65" totalsRowDxfId="64"/>
    <tableColumn id="3" xr3:uid="{00000000-0010-0000-0A00-000003000000}" name="Emergency Shelter" dataDxfId="63" totalsRowDxfId="62" dataCellStyle="Comma"/>
    <tableColumn id="9" xr3:uid="{00000000-0010-0000-0A00-000009000000}" name="NFI Replenishment " dataDxfId="61" totalsRowDxfId="60"/>
    <tableColumn id="4" xr3:uid="{00000000-0010-0000-0A00-000004000000}" name="Shelter Upgrade/Repair" dataDxfId="59" totalsRowDxfId="58" dataCellStyle="Comma"/>
    <tableColumn id="10" xr3:uid="{00000000-0010-0000-0A00-00000A000000}" name="NFI3" dataDxfId="57" totalsRowDxfId="56"/>
    <tableColumn id="11" xr3:uid="{00000000-0010-0000-0A00-00000B000000}" name="Shelter and housing options" dataDxfId="55" totalsRowDxfId="54"/>
  </tableColumns>
  <tableStyleInfo name="TableStyleMedium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EB5CDC2-8BEC-4FF5-8424-B141570E75C5}" name="Table1423569481011121314235679" displayName="Table1423569481011121314235679" ref="A2:L23" totalsRowCount="1" headerRowDxfId="53" dataDxfId="52" totalsRowBorderDxfId="51">
  <autoFilter ref="A2:L22" xr:uid="{00000000-0009-0000-0100-000006000000}"/>
  <sortState ref="A3:H20">
    <sortCondition ref="A1:A19"/>
  </sortState>
  <tableColumns count="12">
    <tableColumn id="1" xr3:uid="{631B7D02-0327-414C-8E55-984265CFEED7}" name="Governerate" dataDxfId="50" totalsRowDxfId="49" dataCellStyle="Normal_Sheet1"/>
    <tableColumn id="2" xr3:uid="{24A5EC46-731B-4DAC-AFBD-B8B1F4794CEC}" name="Admin 1 Code" dataDxfId="48" totalsRowDxfId="47" dataCellStyle="Normal_Sheet1"/>
    <tableColumn id="5" xr3:uid="{F8CAB581-17EC-4A2F-8A7E-CB143799AF08}" name="PEOPLE IN NEED" dataDxfId="46" totalsRowDxfId="45" dataCellStyle="Comma"/>
    <tableColumn id="6" xr3:uid="{6991CA6D-54BD-4915-9CE4-5C5F99629CAE}" name="Target" dataDxfId="44" totalsRowDxfId="43" dataCellStyle="Comma"/>
    <tableColumn id="7" xr3:uid="{FDEE4190-90C6-47DB-8E2B-12267BD20802}" name="NFI" totalsRowFunction="custom" dataDxfId="42" totalsRowDxfId="41" dataCellStyle="Percent">
      <totalsRowFormula>E21/D21</totalsRowFormula>
    </tableColumn>
    <tableColumn id="12" xr3:uid="{C9EF520F-C79D-4B45-86D8-F740F707B5D7}" name="Shelter" totalsRowFunction="custom" dataDxfId="40" totalsRowDxfId="39" dataCellStyle="Percent">
      <calculatedColumnFormula>Table1423569481011121314235679[[#This Row],[Emergency Shelter]]+Table1423569481011121314235679[[#This Row],[Shelter Upgrade/Repair]]+Table1423569481011121314235679[[#This Row],[Shelter and housing options]]</calculatedColumnFormula>
      <totalsRowFormula>F21/D21</totalsRowFormula>
    </tableColumn>
    <tableColumn id="8" xr3:uid="{A7156DB6-0CAE-4E44-8BB3-9ED55507032D}" name="Emergency NFI" dataDxfId="38" totalsRowDxfId="37"/>
    <tableColumn id="3" xr3:uid="{17940E14-04AA-4879-8964-D4CCD9551A52}" name="Emergency Shelter" dataDxfId="36" totalsRowDxfId="35" dataCellStyle="Comma"/>
    <tableColumn id="9" xr3:uid="{639A465F-EDFD-462E-8E3F-7351D09E56B2}" name="NFI Replenishment " dataDxfId="34" totalsRowDxfId="33"/>
    <tableColumn id="4" xr3:uid="{84C55E42-6DA8-4B40-BE9E-B32EBCF2DB27}" name="Shelter Upgrade/Repair" dataDxfId="32" totalsRowDxfId="31" dataCellStyle="Comma"/>
    <tableColumn id="10" xr3:uid="{CD34F173-407B-46D5-8DCC-210904B9237D}" name="NFI3" dataDxfId="30" totalsRowDxfId="29"/>
    <tableColumn id="11" xr3:uid="{A9520771-ED79-46FD-AD83-C5E4C675B142}" name="Shelter and housing options" dataDxfId="28" totalsRowDxfId="27"/>
  </tableColumns>
  <tableStyleInfo name="TableStyleMedium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B000000}" name="Table14235694" displayName="Table14235694" ref="A2:L23" totalsRowCount="1" headerRowDxfId="26" dataDxfId="25" totalsRowDxfId="24" totalsRowBorderDxfId="23">
  <autoFilter ref="A2:L22" xr:uid="{00000000-0009-0000-0100-000003000000}"/>
  <sortState ref="A2:H19">
    <sortCondition ref="A1:A19"/>
  </sortState>
  <tableColumns count="12">
    <tableColumn id="1" xr3:uid="{00000000-0010-0000-0B00-000001000000}" name="Governerate" dataDxfId="22" totalsRowDxfId="21" dataCellStyle="Normal_Sheet1"/>
    <tableColumn id="2" xr3:uid="{00000000-0010-0000-0B00-000002000000}" name="Admin 1 Code" dataDxfId="20" totalsRowDxfId="19" dataCellStyle="Normal_Sheet1"/>
    <tableColumn id="5" xr3:uid="{00000000-0010-0000-0B00-000005000000}" name="PEOPLE IN NEED" dataDxfId="18" totalsRowDxfId="17" dataCellStyle="Comma"/>
    <tableColumn id="6" xr3:uid="{00000000-0010-0000-0B00-000006000000}" name="Target" dataDxfId="16" totalsRowDxfId="15" dataCellStyle="Comma"/>
    <tableColumn id="7" xr3:uid="{00000000-0010-0000-0B00-000007000000}" name="NFI response" totalsRowFunction="custom" totalsRowDxfId="14" dataCellStyle="Percent">
      <totalsRowFormula>E21/D21</totalsRowFormula>
    </tableColumn>
    <tableColumn id="12" xr3:uid="{00000000-0010-0000-0B00-00000C000000}" name="Shelter response" totalsRowFunction="custom" dataDxfId="13" totalsRowDxfId="12" dataCellStyle="Percent">
      <calculatedColumnFormula>Table14235694[[#This Row],[Emergency Shelter]]+Table14235694[[#This Row],[Shelter Upgrade/Repair]]+Table14235694[[#This Row],[Shelter and housing options]]</calculatedColumnFormula>
      <totalsRowFormula>F21/D21</totalsRowFormula>
    </tableColumn>
    <tableColumn id="8" xr3:uid="{00000000-0010-0000-0B00-000008000000}" name="Emergency NFI" dataDxfId="11" totalsRowDxfId="10"/>
    <tableColumn id="3" xr3:uid="{00000000-0010-0000-0B00-000003000000}" name="Emergency Shelter" dataDxfId="9" totalsRowDxfId="8" dataCellStyle="Comma"/>
    <tableColumn id="9" xr3:uid="{00000000-0010-0000-0B00-000009000000}" name="NFI Replenishment " dataDxfId="7" totalsRowDxfId="6"/>
    <tableColumn id="4" xr3:uid="{00000000-0010-0000-0B00-000004000000}" name="Shelter Upgrade/Repair" dataDxfId="5" totalsRowDxfId="4" dataCellStyle="Comma"/>
    <tableColumn id="10" xr3:uid="{00000000-0010-0000-0B00-00000A000000}" name="NFI3" dataDxfId="3" totalsRowDxfId="2"/>
    <tableColumn id="11" xr3:uid="{00000000-0010-0000-0B00-00000B000000}" name="Shelter and housing options" dataDxfId="1" totalsRow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14235694810" displayName="Table14235694810" ref="A2:L23" totalsRowCount="1" headerRowDxfId="323" dataDxfId="322" totalsRowBorderDxfId="321">
  <autoFilter ref="A2:L22" xr:uid="{00000000-0009-0000-0100-000009000000}"/>
  <sortState ref="A3:H20">
    <sortCondition ref="A1:A19"/>
  </sortState>
  <tableColumns count="12">
    <tableColumn id="1" xr3:uid="{00000000-0010-0000-0100-000001000000}" name="Governerate" dataDxfId="320" totalsRowDxfId="319" dataCellStyle="Normal_Sheet1"/>
    <tableColumn id="2" xr3:uid="{00000000-0010-0000-0100-000002000000}" name="Admin 1 Code" dataDxfId="318" totalsRowDxfId="317" dataCellStyle="Normal_Sheet1"/>
    <tableColumn id="5" xr3:uid="{00000000-0010-0000-0100-000005000000}" name="PEOPLE IN NEED" dataDxfId="316" totalsRowDxfId="315" dataCellStyle="Comma"/>
    <tableColumn id="6" xr3:uid="{00000000-0010-0000-0100-000006000000}" name="Target" dataDxfId="314" totalsRowDxfId="313" dataCellStyle="Comma"/>
    <tableColumn id="7" xr3:uid="{00000000-0010-0000-0100-000007000000}" name="NFI" totalsRowFunction="custom" dataDxfId="312" totalsRowDxfId="311" dataCellStyle="Percent">
      <totalsRowFormula>E21/D21</totalsRowFormula>
    </tableColumn>
    <tableColumn id="12" xr3:uid="{00000000-0010-0000-0100-00000C000000}" name="Shelter" totalsRowFunction="custom" dataDxfId="310" totalsRowDxfId="309" dataCellStyle="Percent">
      <calculatedColumnFormula>Table14235694810[[#This Row],[Emergency Shelter]]+Table14235694810[[#This Row],[Shelter Upgrade/Repair]]+Table14235694810[[#This Row],[Shelter and housing options]]</calculatedColumnFormula>
      <totalsRowFormula>F21/D21</totalsRowFormula>
    </tableColumn>
    <tableColumn id="8" xr3:uid="{00000000-0010-0000-0100-000008000000}" name="Emergency NFI" dataDxfId="308" totalsRowDxfId="307"/>
    <tableColumn id="3" xr3:uid="{00000000-0010-0000-0100-000003000000}" name="Emergency Shelter" dataDxfId="306" totalsRowDxfId="305" dataCellStyle="Comma"/>
    <tableColumn id="9" xr3:uid="{00000000-0010-0000-0100-000009000000}" name="NFI Replenishment " dataDxfId="304" totalsRowDxfId="303"/>
    <tableColumn id="4" xr3:uid="{00000000-0010-0000-0100-000004000000}" name="Shelter Upgrade/Repair" dataDxfId="302" totalsRowDxfId="301" dataCellStyle="Comma"/>
    <tableColumn id="10" xr3:uid="{00000000-0010-0000-0100-00000A000000}" name="NFI3" dataDxfId="300" totalsRowDxfId="299"/>
    <tableColumn id="11" xr3:uid="{00000000-0010-0000-0100-00000B000000}" name="Shelter and housing options" dataDxfId="298" totalsRowDxfId="297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1423569481011" displayName="Table1423569481011" ref="A2:L23" totalsRowCount="1" headerRowDxfId="296" dataDxfId="295" totalsRowBorderDxfId="294">
  <autoFilter ref="A2:L22" xr:uid="{00000000-0009-0000-0100-00000A000000}"/>
  <sortState ref="A3:H20">
    <sortCondition ref="A1:A19"/>
  </sortState>
  <tableColumns count="12">
    <tableColumn id="1" xr3:uid="{00000000-0010-0000-0200-000001000000}" name="Governerate" dataDxfId="293" totalsRowDxfId="292" dataCellStyle="Normal_Sheet1"/>
    <tableColumn id="2" xr3:uid="{00000000-0010-0000-0200-000002000000}" name="Admin 1 Code" dataDxfId="291" totalsRowDxfId="290" dataCellStyle="Normal_Sheet1"/>
    <tableColumn id="5" xr3:uid="{00000000-0010-0000-0200-000005000000}" name="PEOPLE IN NEED" dataDxfId="289" totalsRowDxfId="288" dataCellStyle="Comma"/>
    <tableColumn id="6" xr3:uid="{00000000-0010-0000-0200-000006000000}" name="Target" dataDxfId="287" totalsRowDxfId="286" dataCellStyle="Comma"/>
    <tableColumn id="7" xr3:uid="{00000000-0010-0000-0200-000007000000}" name="NFI" totalsRowFunction="custom" dataDxfId="285" totalsRowDxfId="284" dataCellStyle="Percent">
      <totalsRowFormula>E21/D21</totalsRowFormula>
    </tableColumn>
    <tableColumn id="12" xr3:uid="{00000000-0010-0000-0200-00000C000000}" name="Shelter" totalsRowFunction="custom" dataDxfId="283" totalsRowDxfId="282" dataCellStyle="Percent">
      <calculatedColumnFormula>Table1423569481011[[#This Row],[Emergency Shelter]]+Table1423569481011[[#This Row],[Shelter Upgrade/Repair]]+Table1423569481011[[#This Row],[Shelter and housing options]]</calculatedColumnFormula>
      <totalsRowFormula>F21/D21</totalsRowFormula>
    </tableColumn>
    <tableColumn id="8" xr3:uid="{00000000-0010-0000-0200-000008000000}" name="Emergency NFI" dataDxfId="281" totalsRowDxfId="280"/>
    <tableColumn id="3" xr3:uid="{00000000-0010-0000-0200-000003000000}" name="Emergency Shelter" dataDxfId="279" totalsRowDxfId="278" dataCellStyle="Comma"/>
    <tableColumn id="9" xr3:uid="{00000000-0010-0000-0200-000009000000}" name="NFI Replenishment " dataDxfId="277" totalsRowDxfId="276"/>
    <tableColumn id="4" xr3:uid="{00000000-0010-0000-0200-000004000000}" name="Shelter Upgrade/Repair" dataDxfId="275" totalsRowDxfId="274" dataCellStyle="Comma"/>
    <tableColumn id="10" xr3:uid="{00000000-0010-0000-0200-00000A000000}" name="NFI3" dataDxfId="273" totalsRowDxfId="272"/>
    <tableColumn id="11" xr3:uid="{00000000-0010-0000-0200-00000B000000}" name="Shelter and housing options" dataDxfId="271" totalsRowDxfId="270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le142356948101112" displayName="Table142356948101112" ref="A2:L23" totalsRowCount="1" headerRowDxfId="269" dataDxfId="268" totalsRowBorderDxfId="267">
  <autoFilter ref="A2:L22" xr:uid="{00000000-0009-0000-0100-00000B000000}"/>
  <sortState ref="A3:H20">
    <sortCondition ref="A1:A19"/>
  </sortState>
  <tableColumns count="12">
    <tableColumn id="1" xr3:uid="{00000000-0010-0000-0300-000001000000}" name="Governerate" dataDxfId="266" totalsRowDxfId="265" dataCellStyle="Normal_Sheet1"/>
    <tableColumn id="2" xr3:uid="{00000000-0010-0000-0300-000002000000}" name="Admin 1 Code" dataDxfId="264" totalsRowDxfId="263" dataCellStyle="Normal_Sheet1"/>
    <tableColumn id="5" xr3:uid="{00000000-0010-0000-0300-000005000000}" name="PEOPLE IN NEED" dataDxfId="262" totalsRowDxfId="261" dataCellStyle="Comma"/>
    <tableColumn id="6" xr3:uid="{00000000-0010-0000-0300-000006000000}" name="Target" dataDxfId="260" totalsRowDxfId="259" dataCellStyle="Comma"/>
    <tableColumn id="7" xr3:uid="{00000000-0010-0000-0300-000007000000}" name="NFI" totalsRowFunction="custom" dataDxfId="258" totalsRowDxfId="257" dataCellStyle="Percent">
      <totalsRowFormula>E21/D21</totalsRowFormula>
    </tableColumn>
    <tableColumn id="12" xr3:uid="{00000000-0010-0000-0300-00000C000000}" name="Shelter" totalsRowFunction="custom" dataDxfId="256" totalsRowDxfId="255" dataCellStyle="Percent">
      <calculatedColumnFormula>Table142356948101112[[#This Row],[Emergency Shelter]]+Table142356948101112[[#This Row],[Shelter Upgrade/Repair]]+Table142356948101112[[#This Row],[Shelter and housing options]]</calculatedColumnFormula>
      <totalsRowFormula>F21/D21</totalsRowFormula>
    </tableColumn>
    <tableColumn id="8" xr3:uid="{00000000-0010-0000-0300-000008000000}" name="Emergency NFI" dataDxfId="254" totalsRowDxfId="253"/>
    <tableColumn id="3" xr3:uid="{00000000-0010-0000-0300-000003000000}" name="Emergency Shelter" dataDxfId="252" totalsRowDxfId="251" dataCellStyle="Comma"/>
    <tableColumn id="9" xr3:uid="{00000000-0010-0000-0300-000009000000}" name="NFI Replenishment " dataDxfId="250" totalsRowDxfId="249"/>
    <tableColumn id="4" xr3:uid="{00000000-0010-0000-0300-000004000000}" name="Shelter Upgrade/Repair" dataDxfId="248" totalsRowDxfId="247" dataCellStyle="Comma"/>
    <tableColumn id="10" xr3:uid="{00000000-0010-0000-0300-00000A000000}" name="NFI3" dataDxfId="246" totalsRowDxfId="245"/>
    <tableColumn id="11" xr3:uid="{00000000-0010-0000-0300-00000B000000}" name="Shelter and housing options" dataDxfId="244" totalsRowDxfId="243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4235694810111213" displayName="Table14235694810111213" ref="A2:L23" totalsRowCount="1" headerRowDxfId="242" dataDxfId="241" totalsRowBorderDxfId="240">
  <autoFilter ref="A2:L22" xr:uid="{00000000-0009-0000-0100-00000C000000}"/>
  <sortState ref="A3:H20">
    <sortCondition ref="A1:A19"/>
  </sortState>
  <tableColumns count="12">
    <tableColumn id="1" xr3:uid="{00000000-0010-0000-0400-000001000000}" name="Governerate" dataDxfId="239" totalsRowDxfId="238" dataCellStyle="Normal_Sheet1"/>
    <tableColumn id="2" xr3:uid="{00000000-0010-0000-0400-000002000000}" name="Admin 1 Code" dataDxfId="237" totalsRowDxfId="236" dataCellStyle="Normal_Sheet1"/>
    <tableColumn id="5" xr3:uid="{00000000-0010-0000-0400-000005000000}" name="PEOPLE IN NEED" dataDxfId="235" totalsRowDxfId="234" dataCellStyle="Comma"/>
    <tableColumn id="6" xr3:uid="{00000000-0010-0000-0400-000006000000}" name="Target" dataDxfId="233" totalsRowDxfId="232" dataCellStyle="Comma"/>
    <tableColumn id="7" xr3:uid="{00000000-0010-0000-0400-000007000000}" name="NFI" totalsRowFunction="custom" dataDxfId="231" totalsRowDxfId="230" dataCellStyle="Percent">
      <totalsRowFormula>E21/D21</totalsRowFormula>
    </tableColumn>
    <tableColumn id="12" xr3:uid="{00000000-0010-0000-0400-00000C000000}" name="Shelter" totalsRowFunction="custom" dataDxfId="229" totalsRowDxfId="228" dataCellStyle="Percent">
      <calculatedColumnFormula>Table14235694810111213[[#This Row],[Emergency Shelter]]+Table14235694810111213[[#This Row],[Shelter Upgrade/Repair]]+Table14235694810111213[[#This Row],[Shelter and housing options]]</calculatedColumnFormula>
      <totalsRowFormula>F21/D21</totalsRowFormula>
    </tableColumn>
    <tableColumn id="8" xr3:uid="{00000000-0010-0000-0400-000008000000}" name="Emergency NFI" dataDxfId="227" totalsRowDxfId="226"/>
    <tableColumn id="3" xr3:uid="{00000000-0010-0000-0400-000003000000}" name="Emergency Shelter" dataDxfId="225" totalsRowDxfId="224" dataCellStyle="Comma"/>
    <tableColumn id="9" xr3:uid="{00000000-0010-0000-0400-000009000000}" name="NFI Replenishment " dataDxfId="223" totalsRowDxfId="222"/>
    <tableColumn id="4" xr3:uid="{00000000-0010-0000-0400-000004000000}" name="Shelter Upgrade/Repair" dataDxfId="221" totalsRowDxfId="220" dataCellStyle="Comma"/>
    <tableColumn id="10" xr3:uid="{00000000-0010-0000-0400-00000A000000}" name="NFI3" dataDxfId="219" totalsRowDxfId="218"/>
    <tableColumn id="11" xr3:uid="{00000000-0010-0000-0400-00000B000000}" name="Shelter and housing options" dataDxfId="217" totalsRowDxfId="216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5000000}" name="Table1423569481011121314" displayName="Table1423569481011121314" ref="A2:L23" totalsRowCount="1" headerRowDxfId="215" dataDxfId="214" totalsRowBorderDxfId="213">
  <autoFilter ref="A2:L22" xr:uid="{00000000-0009-0000-0100-00000D000000}"/>
  <sortState ref="A3:H20">
    <sortCondition ref="A1:A19"/>
  </sortState>
  <tableColumns count="12">
    <tableColumn id="1" xr3:uid="{00000000-0010-0000-0500-000001000000}" name="Governerate" dataDxfId="212" totalsRowDxfId="211" dataCellStyle="Normal_Sheet1"/>
    <tableColumn id="2" xr3:uid="{00000000-0010-0000-0500-000002000000}" name="Admin 1 Code" dataDxfId="210" totalsRowDxfId="209" dataCellStyle="Normal_Sheet1"/>
    <tableColumn id="5" xr3:uid="{00000000-0010-0000-0500-000005000000}" name="PEOPLE IN NEED" dataDxfId="208" totalsRowDxfId="207" dataCellStyle="Comma"/>
    <tableColumn id="6" xr3:uid="{00000000-0010-0000-0500-000006000000}" name="Target" dataDxfId="206" totalsRowDxfId="205" dataCellStyle="Comma"/>
    <tableColumn id="7" xr3:uid="{00000000-0010-0000-0500-000007000000}" name="NFI" totalsRowFunction="custom" dataDxfId="204" totalsRowDxfId="203" dataCellStyle="Percent">
      <totalsRowFormula>E21/D21</totalsRowFormula>
    </tableColumn>
    <tableColumn id="12" xr3:uid="{00000000-0010-0000-0500-00000C000000}" name="Shelter" totalsRowFunction="custom" dataDxfId="202" totalsRowDxfId="201" dataCellStyle="Percent">
      <calculatedColumnFormula>Table1423569481011121314[[#This Row],[Emergency Shelter]]+Table1423569481011121314[[#This Row],[Shelter Upgrade/Repair]]+Table1423569481011121314[[#This Row],[Shelter and housing options]]</calculatedColumnFormula>
      <totalsRowFormula>F21/D21</totalsRowFormula>
    </tableColumn>
    <tableColumn id="8" xr3:uid="{00000000-0010-0000-0500-000008000000}" name="Emergency NFI" dataDxfId="200" totalsRowDxfId="199"/>
    <tableColumn id="3" xr3:uid="{00000000-0010-0000-0500-000003000000}" name="Emergency Shelter" dataDxfId="198" totalsRowDxfId="197" dataCellStyle="Comma"/>
    <tableColumn id="9" xr3:uid="{00000000-0010-0000-0500-000009000000}" name="NFI Replenishment " dataDxfId="196" totalsRowDxfId="195"/>
    <tableColumn id="4" xr3:uid="{00000000-0010-0000-0500-000004000000}" name="Shelter Upgrade/Repair" dataDxfId="194" totalsRowDxfId="193" dataCellStyle="Comma"/>
    <tableColumn id="10" xr3:uid="{00000000-0010-0000-0500-00000A000000}" name="NFI3" dataDxfId="192" totalsRowDxfId="191"/>
    <tableColumn id="11" xr3:uid="{00000000-0010-0000-0500-00000B000000}" name="Shelter and housing options" dataDxfId="190" totalsRowDxfId="189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e14235694810111213142" displayName="Table14235694810111213142" ref="A2:L23" totalsRowCount="1" headerRowDxfId="188" dataDxfId="187" totalsRowBorderDxfId="186">
  <autoFilter ref="A2:L22" xr:uid="{00000000-0009-0000-0100-000001000000}"/>
  <sortState ref="A3:H20">
    <sortCondition ref="A1:A19"/>
  </sortState>
  <tableColumns count="12">
    <tableColumn id="1" xr3:uid="{00000000-0010-0000-0600-000001000000}" name="Governerate" dataDxfId="185" totalsRowDxfId="184" dataCellStyle="Normal_Sheet1"/>
    <tableColumn id="2" xr3:uid="{00000000-0010-0000-0600-000002000000}" name="Admin 1 Code" dataDxfId="183" totalsRowDxfId="182" dataCellStyle="Normal_Sheet1"/>
    <tableColumn id="5" xr3:uid="{00000000-0010-0000-0600-000005000000}" name="PEOPLE IN NEED" dataDxfId="181" totalsRowDxfId="180" dataCellStyle="Comma"/>
    <tableColumn id="6" xr3:uid="{00000000-0010-0000-0600-000006000000}" name="Target" dataDxfId="179" totalsRowDxfId="178" dataCellStyle="Comma"/>
    <tableColumn id="7" xr3:uid="{00000000-0010-0000-0600-000007000000}" name="NFI" totalsRowFunction="custom" dataDxfId="177" totalsRowDxfId="176" dataCellStyle="Percent">
      <totalsRowFormula>E21/D21</totalsRowFormula>
    </tableColumn>
    <tableColumn id="12" xr3:uid="{00000000-0010-0000-0600-00000C000000}" name="Shelter" totalsRowFunction="custom" dataDxfId="175" totalsRowDxfId="174" dataCellStyle="Percent">
      <calculatedColumnFormula>Table14235694810111213142[[#This Row],[Emergency Shelter]]+Table14235694810111213142[[#This Row],[Shelter Upgrade/Repair]]+Table14235694810111213142[[#This Row],[Shelter and housing options]]</calculatedColumnFormula>
      <totalsRowFormula>F21/D21</totalsRowFormula>
    </tableColumn>
    <tableColumn id="8" xr3:uid="{00000000-0010-0000-0600-000008000000}" name="Emergency NFI" dataDxfId="173" totalsRowDxfId="172"/>
    <tableColumn id="3" xr3:uid="{00000000-0010-0000-0600-000003000000}" name="Emergency Shelter" dataDxfId="171" totalsRowDxfId="170" dataCellStyle="Comma"/>
    <tableColumn id="9" xr3:uid="{00000000-0010-0000-0600-000009000000}" name="NFI Replenishment " dataDxfId="169" totalsRowDxfId="168"/>
    <tableColumn id="4" xr3:uid="{00000000-0010-0000-0600-000004000000}" name="Shelter Upgrade/Repair" dataDxfId="167" totalsRowDxfId="166" dataCellStyle="Comma"/>
    <tableColumn id="10" xr3:uid="{00000000-0010-0000-0600-00000A000000}" name="NFI3" dataDxfId="165" totalsRowDxfId="164"/>
    <tableColumn id="11" xr3:uid="{00000000-0010-0000-0600-00000B000000}" name="Shelter and housing options" dataDxfId="163" totalsRowDxfId="162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e142356948101112131423" displayName="Table142356948101112131423" ref="A2:L23" totalsRowCount="1" headerRowDxfId="161" dataDxfId="160" totalsRowBorderDxfId="159">
  <autoFilter ref="A2:L22" xr:uid="{00000000-0009-0000-0100-000002000000}"/>
  <sortState ref="A3:H20">
    <sortCondition ref="A1:A19"/>
  </sortState>
  <tableColumns count="12">
    <tableColumn id="1" xr3:uid="{00000000-0010-0000-0700-000001000000}" name="Governerate" dataDxfId="158" totalsRowDxfId="157" dataCellStyle="Normal_Sheet1"/>
    <tableColumn id="2" xr3:uid="{00000000-0010-0000-0700-000002000000}" name="Admin 1 Code" dataDxfId="156" totalsRowDxfId="155" dataCellStyle="Normal_Sheet1"/>
    <tableColumn id="5" xr3:uid="{00000000-0010-0000-0700-000005000000}" name="PEOPLE IN NEED" dataDxfId="154" totalsRowDxfId="153" dataCellStyle="Comma"/>
    <tableColumn id="6" xr3:uid="{00000000-0010-0000-0700-000006000000}" name="Target" dataDxfId="152" totalsRowDxfId="151" dataCellStyle="Comma"/>
    <tableColumn id="7" xr3:uid="{00000000-0010-0000-0700-000007000000}" name="NFI" totalsRowFunction="custom" dataDxfId="150" totalsRowDxfId="149" dataCellStyle="Percent">
      <totalsRowFormula>E21/D21</totalsRowFormula>
    </tableColumn>
    <tableColumn id="12" xr3:uid="{00000000-0010-0000-0700-00000C000000}" name="Shelter" totalsRowFunction="custom" dataDxfId="148" totalsRowDxfId="147" dataCellStyle="Percent">
      <calculatedColumnFormula>Table142356948101112131423[[#This Row],[Emergency Shelter]]+Table142356948101112131423[[#This Row],[Shelter Upgrade/Repair]]+Table142356948101112131423[[#This Row],[Shelter and housing options]]</calculatedColumnFormula>
      <totalsRowFormula>F21/D21</totalsRowFormula>
    </tableColumn>
    <tableColumn id="8" xr3:uid="{00000000-0010-0000-0700-000008000000}" name="Emergency NFI" dataDxfId="146" totalsRowDxfId="145"/>
    <tableColumn id="3" xr3:uid="{00000000-0010-0000-0700-000003000000}" name="Emergency Shelter" dataDxfId="144" totalsRowDxfId="143" dataCellStyle="Comma"/>
    <tableColumn id="9" xr3:uid="{00000000-0010-0000-0700-000009000000}" name="NFI Replenishment " dataDxfId="142" totalsRowDxfId="141"/>
    <tableColumn id="4" xr3:uid="{00000000-0010-0000-0700-000004000000}" name="Shelter Upgrade/Repair" dataDxfId="140" totalsRowDxfId="139" dataCellStyle="Comma"/>
    <tableColumn id="10" xr3:uid="{00000000-0010-0000-0700-00000A000000}" name="NFI3" dataDxfId="138" totalsRowDxfId="137"/>
    <tableColumn id="11" xr3:uid="{00000000-0010-0000-0700-00000B000000}" name="Shelter and housing options" dataDxfId="136" totalsRowDxfId="135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e1423569481011121314235" displayName="Table1423569481011121314235" ref="A2:L23" totalsRowCount="1" headerRowDxfId="134" dataDxfId="133" totalsRowBorderDxfId="132">
  <autoFilter ref="A2:L22" xr:uid="{00000000-0009-0000-0100-000004000000}"/>
  <sortState ref="A3:H20">
    <sortCondition ref="A1:A19"/>
  </sortState>
  <tableColumns count="12">
    <tableColumn id="1" xr3:uid="{00000000-0010-0000-0800-000001000000}" name="Governerate" dataDxfId="131" totalsRowDxfId="130" dataCellStyle="Normal_Sheet1"/>
    <tableColumn id="2" xr3:uid="{00000000-0010-0000-0800-000002000000}" name="Admin 1 Code" dataDxfId="129" totalsRowDxfId="128" dataCellStyle="Normal_Sheet1"/>
    <tableColumn id="5" xr3:uid="{00000000-0010-0000-0800-000005000000}" name="PEOPLE IN NEED" dataDxfId="127" totalsRowDxfId="126" dataCellStyle="Comma"/>
    <tableColumn id="6" xr3:uid="{00000000-0010-0000-0800-000006000000}" name="Target" dataDxfId="125" totalsRowDxfId="124" dataCellStyle="Comma"/>
    <tableColumn id="7" xr3:uid="{00000000-0010-0000-0800-000007000000}" name="NFI" totalsRowFunction="custom" dataDxfId="123" totalsRowDxfId="122" dataCellStyle="Percent">
      <totalsRowFormula>E21/D21</totalsRowFormula>
    </tableColumn>
    <tableColumn id="12" xr3:uid="{00000000-0010-0000-0800-00000C000000}" name="Shelter" totalsRowFunction="custom" dataDxfId="121" totalsRowDxfId="120" dataCellStyle="Percent">
      <calculatedColumnFormula>Table1423569481011121314235[[#This Row],[Emergency Shelter]]+Table1423569481011121314235[[#This Row],[Shelter Upgrade/Repair]]+Table1423569481011121314235[[#This Row],[Shelter and housing options]]</calculatedColumnFormula>
      <totalsRowFormula>F21/D21</totalsRowFormula>
    </tableColumn>
    <tableColumn id="8" xr3:uid="{00000000-0010-0000-0800-000008000000}" name="Emergency NFI" dataDxfId="119" totalsRowDxfId="118"/>
    <tableColumn id="3" xr3:uid="{00000000-0010-0000-0800-000003000000}" name="Emergency Shelter" dataDxfId="117" totalsRowDxfId="116" dataCellStyle="Comma"/>
    <tableColumn id="9" xr3:uid="{00000000-0010-0000-0800-000009000000}" name="NFI Replenishment " dataDxfId="115" totalsRowDxfId="114"/>
    <tableColumn id="4" xr3:uid="{00000000-0010-0000-0800-000004000000}" name="Shelter Upgrade/Repair" dataDxfId="113" totalsRowDxfId="112" dataCellStyle="Comma"/>
    <tableColumn id="10" xr3:uid="{00000000-0010-0000-0800-00000A000000}" name="NFI3" dataDxfId="111" totalsRowDxfId="110"/>
    <tableColumn id="11" xr3:uid="{00000000-0010-0000-0800-00000B000000}" name="Shelter and housing options" dataDxfId="109" totalsRowDxfId="10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ord2.iraq@sheltercluster.org" TargetMode="External"/><Relationship Id="rId1" Type="http://schemas.openxmlformats.org/officeDocument/2006/relationships/hyperlink" Target="mailto:coord.iraq@sheltercluster.or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zoomScale="80" zoomScaleNormal="80" workbookViewId="0">
      <selection activeCell="B30" sqref="B30"/>
    </sheetView>
  </sheetViews>
  <sheetFormatPr defaultRowHeight="12.75" x14ac:dyDescent="0.2"/>
  <cols>
    <col min="1" max="1" width="36.42578125" style="45" customWidth="1"/>
    <col min="2" max="4" width="19.140625" style="45" customWidth="1"/>
    <col min="5" max="5" width="20.7109375" style="45" customWidth="1"/>
    <col min="6" max="6" width="19.7109375" style="45" customWidth="1"/>
    <col min="7" max="16384" width="9.140625" style="45"/>
  </cols>
  <sheetData>
    <row r="1" spans="1:6" ht="21.75" customHeight="1" x14ac:dyDescent="0.2">
      <c r="A1" s="43"/>
      <c r="B1" s="17" t="s">
        <v>45</v>
      </c>
      <c r="C1" s="18" t="s">
        <v>46</v>
      </c>
      <c r="D1" s="18" t="s">
        <v>47</v>
      </c>
      <c r="E1" s="44" t="s">
        <v>66</v>
      </c>
      <c r="F1" s="57" t="s">
        <v>68</v>
      </c>
    </row>
    <row r="2" spans="1:6" x14ac:dyDescent="0.2">
      <c r="A2" s="43" t="s">
        <v>48</v>
      </c>
      <c r="B2" s="46">
        <v>1130591</v>
      </c>
      <c r="C2" s="46">
        <v>546892</v>
      </c>
      <c r="D2" s="46">
        <v>648858</v>
      </c>
      <c r="E2" s="47">
        <f>SUM(B2:D2)</f>
        <v>2326341</v>
      </c>
      <c r="F2" s="58">
        <f>E2/6</f>
        <v>387723.5</v>
      </c>
    </row>
    <row r="3" spans="1:6" x14ac:dyDescent="0.2">
      <c r="A3" s="151" t="s">
        <v>49</v>
      </c>
      <c r="B3" s="152">
        <v>29</v>
      </c>
      <c r="C3" s="152">
        <v>13</v>
      </c>
      <c r="D3" s="152">
        <v>25</v>
      </c>
      <c r="E3" s="48"/>
    </row>
    <row r="4" spans="1:6" x14ac:dyDescent="0.2">
      <c r="A4" s="151"/>
      <c r="B4" s="152"/>
      <c r="C4" s="152"/>
      <c r="D4" s="152"/>
      <c r="E4" s="48"/>
    </row>
    <row r="5" spans="1:6" x14ac:dyDescent="0.2">
      <c r="A5" s="43" t="s">
        <v>50</v>
      </c>
      <c r="B5" s="49">
        <v>73879938</v>
      </c>
      <c r="C5" s="49">
        <v>41918452</v>
      </c>
      <c r="D5" s="49">
        <v>59515318</v>
      </c>
      <c r="E5" s="107">
        <f>SUM(B5:D5)</f>
        <v>175313708</v>
      </c>
    </row>
    <row r="6" spans="1:6" x14ac:dyDescent="0.2">
      <c r="A6" s="151" t="s">
        <v>51</v>
      </c>
      <c r="B6" s="153" t="s">
        <v>52</v>
      </c>
      <c r="C6" s="153"/>
      <c r="D6" s="153"/>
      <c r="E6" s="48"/>
    </row>
    <row r="7" spans="1:6" x14ac:dyDescent="0.2">
      <c r="A7" s="151"/>
      <c r="B7" s="154" t="s">
        <v>53</v>
      </c>
      <c r="C7" s="154"/>
      <c r="D7" s="154"/>
      <c r="E7" s="48"/>
    </row>
    <row r="8" spans="1:6" x14ac:dyDescent="0.2">
      <c r="A8" s="151"/>
      <c r="B8" s="153"/>
      <c r="C8" s="153"/>
      <c r="D8" s="153"/>
      <c r="E8" s="48"/>
    </row>
    <row r="9" spans="1:6" x14ac:dyDescent="0.2">
      <c r="A9" s="151" t="s">
        <v>54</v>
      </c>
      <c r="B9" s="153" t="s">
        <v>55</v>
      </c>
      <c r="C9" s="153"/>
      <c r="D9" s="153"/>
      <c r="E9" s="48"/>
    </row>
    <row r="10" spans="1:6" x14ac:dyDescent="0.2">
      <c r="A10" s="151"/>
      <c r="B10" s="154" t="s">
        <v>56</v>
      </c>
      <c r="C10" s="154"/>
      <c r="D10" s="154"/>
      <c r="E10" s="48"/>
    </row>
    <row r="11" spans="1:6" x14ac:dyDescent="0.2">
      <c r="A11" s="151"/>
      <c r="B11" s="153"/>
      <c r="C11" s="153"/>
      <c r="D11" s="153"/>
      <c r="E11" s="50"/>
    </row>
    <row r="13" spans="1:6" hidden="1" x14ac:dyDescent="0.2"/>
    <row r="14" spans="1:6" hidden="1" x14ac:dyDescent="0.2">
      <c r="B14" s="155" t="s">
        <v>67</v>
      </c>
      <c r="C14" s="156"/>
    </row>
    <row r="15" spans="1:6" hidden="1" x14ac:dyDescent="0.2">
      <c r="B15" s="59" t="s">
        <v>64</v>
      </c>
      <c r="C15" s="64" t="s">
        <v>65</v>
      </c>
      <c r="D15" s="54" t="s">
        <v>57</v>
      </c>
    </row>
    <row r="16" spans="1:6" hidden="1" x14ac:dyDescent="0.2">
      <c r="A16" s="51" t="s">
        <v>61</v>
      </c>
      <c r="B16" s="60">
        <v>1190204</v>
      </c>
      <c r="C16" s="65">
        <v>344258</v>
      </c>
      <c r="D16" s="55"/>
    </row>
    <row r="17" spans="1:4" hidden="1" x14ac:dyDescent="0.2">
      <c r="A17" s="71" t="s">
        <v>63</v>
      </c>
      <c r="B17" s="72">
        <v>100246</v>
      </c>
      <c r="C17" s="73">
        <v>256530</v>
      </c>
      <c r="D17" s="55"/>
    </row>
    <row r="18" spans="1:4" hidden="1" x14ac:dyDescent="0.2">
      <c r="A18" s="53"/>
      <c r="B18" s="61"/>
      <c r="C18" s="66">
        <v>12234</v>
      </c>
      <c r="D18" s="55"/>
    </row>
    <row r="19" spans="1:4" hidden="1" x14ac:dyDescent="0.2">
      <c r="A19" s="74"/>
      <c r="B19" s="75"/>
      <c r="C19" s="76">
        <v>382978</v>
      </c>
      <c r="D19" s="55"/>
    </row>
    <row r="20" spans="1:4" hidden="1" x14ac:dyDescent="0.2">
      <c r="A20" s="52" t="s">
        <v>62</v>
      </c>
      <c r="B20" s="62"/>
      <c r="C20" s="67">
        <v>41534</v>
      </c>
      <c r="D20" s="55"/>
    </row>
    <row r="21" spans="1:4" hidden="1" x14ac:dyDescent="0.2">
      <c r="B21" s="69">
        <f>SUM(B16:B20)</f>
        <v>1290450</v>
      </c>
      <c r="C21" s="70">
        <f>SUM(C16:C20)</f>
        <v>1037534</v>
      </c>
      <c r="D21" s="56">
        <f>SUM(B21:C21)</f>
        <v>2327984</v>
      </c>
    </row>
    <row r="22" spans="1:4" hidden="1" x14ac:dyDescent="0.2">
      <c r="B22" s="63">
        <f>B21/6</f>
        <v>215075</v>
      </c>
      <c r="C22" s="68">
        <f>C21/6</f>
        <v>172922.33333333334</v>
      </c>
      <c r="D22" s="56">
        <f>D21/6</f>
        <v>387997.33333333331</v>
      </c>
    </row>
    <row r="23" spans="1:4" hidden="1" x14ac:dyDescent="0.2"/>
  </sheetData>
  <mergeCells count="13">
    <mergeCell ref="B14:C14"/>
    <mergeCell ref="A9:A11"/>
    <mergeCell ref="B9:D9"/>
    <mergeCell ref="B10:D10"/>
    <mergeCell ref="B11:D11"/>
    <mergeCell ref="A3:A4"/>
    <mergeCell ref="B3:B4"/>
    <mergeCell ref="C3:C4"/>
    <mergeCell ref="D3:D4"/>
    <mergeCell ref="A6:A8"/>
    <mergeCell ref="B6:D6"/>
    <mergeCell ref="B7:D7"/>
    <mergeCell ref="B8:D8"/>
  </mergeCells>
  <hyperlinks>
    <hyperlink ref="B7" r:id="rId1" display="mailto:coord.iraq@sheltercluster.org" xr:uid="{00000000-0004-0000-0000-000000000000}"/>
    <hyperlink ref="B10" r:id="rId2" display="mailto:coord2.iraq@sheltercluster.org" xr:uid="{00000000-0004-0000-0000-000001000000}"/>
  </hyperlinks>
  <pageMargins left="0.7" right="0.7" top="0.75" bottom="0.75" header="0.3" footer="0.3"/>
  <pageSetup paperSize="9" orientation="portrait"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G3" sqref="G3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27">
        <v>42979</v>
      </c>
      <c r="B1" s="93"/>
      <c r="C1" s="93"/>
      <c r="D1" s="93"/>
      <c r="E1" s="157" t="s">
        <v>139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Table1423569481011121314235[[#This Row],[Emergency NFI]]+Table1423569481011121314235[[#This Row],[NFI Replenishment ]]+Table1423569481011121314235[[#This Row],[NFI3]]</f>
        <v>14736</v>
      </c>
      <c r="F3" s="91">
        <f>Table1423569481011121314235[[#This Row],[Emergency Shelter]]+Table1423569481011121314235[[#This Row],[Shelter Upgrade/Repair]]+Table1423569481011121314235[[#This Row],[Shelter and housing options]]</f>
        <v>3048</v>
      </c>
      <c r="G3" s="91">
        <v>14736</v>
      </c>
      <c r="H3" s="91">
        <v>3042</v>
      </c>
      <c r="I3" s="91">
        <v>0</v>
      </c>
      <c r="J3" s="91">
        <f>1*6</f>
        <v>6</v>
      </c>
      <c r="K3" s="91">
        <v>0</v>
      </c>
      <c r="L3" s="90">
        <v>0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Table1423569481011121314235[[#This Row],[Emergency NFI]]+Table1423569481011121314235[[#This Row],[NFI Replenishment ]]+Table1423569481011121314235[[#This Row],[NFI3]]</f>
        <v>0</v>
      </c>
      <c r="F4" s="5">
        <f>Table1423569481011121314235[[#This Row],[Emergency Shelter]]+Table1423569481011121314235[[#This Row],[Shelter Upgrade/Repair]]+Table1423569481011121314235[[#This Row],[Shelter and housing options]]</f>
        <v>0</v>
      </c>
      <c r="G4" s="91">
        <v>0</v>
      </c>
      <c r="H4" s="5">
        <v>0</v>
      </c>
      <c r="I4" s="5">
        <v>0</v>
      </c>
      <c r="J4" s="91">
        <v>0</v>
      </c>
      <c r="K4" s="5">
        <v>0</v>
      </c>
      <c r="L4" s="89">
        <v>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Table1423569481011121314235[[#This Row],[Emergency NFI]]+Table1423569481011121314235[[#This Row],[NFI Replenishment ]]+Table1423569481011121314235[[#This Row],[NFI3]]</f>
        <v>0</v>
      </c>
      <c r="F5" s="5">
        <f>Table1423569481011121314235[[#This Row],[Emergency Shelter]]+Table1423569481011121314235[[#This Row],[Shelter Upgrade/Repair]]+Table1423569481011121314235[[#This Row],[Shelter and housing options]]</f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89">
        <v>0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Table1423569481011121314235[[#This Row],[Emergency NFI]]+Table1423569481011121314235[[#This Row],[NFI Replenishment ]]+Table1423569481011121314235[[#This Row],[NFI3]]</f>
        <v>0</v>
      </c>
      <c r="F6" s="5">
        <f>Table1423569481011121314235[[#This Row],[Emergency Shelter]]+Table1423569481011121314235[[#This Row],[Shelter Upgrade/Repair]]+Table1423569481011121314235[[#This Row],[Shelter and housing options]]</f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89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Table1423569481011121314235[[#This Row],[Emergency NFI]]+Table1423569481011121314235[[#This Row],[NFI Replenishment ]]+Table1423569481011121314235[[#This Row],[NFI3]]</f>
        <v>66</v>
      </c>
      <c r="F7" s="5">
        <f>Table1423569481011121314235[[#This Row],[Emergency Shelter]]+Table1423569481011121314235[[#This Row],[Shelter Upgrade/Repair]]+Table1423569481011121314235[[#This Row],[Shelter and housing options]]</f>
        <v>54312</v>
      </c>
      <c r="G7" s="5">
        <v>66</v>
      </c>
      <c r="H7" s="5">
        <v>36</v>
      </c>
      <c r="I7" s="5">
        <v>0</v>
      </c>
      <c r="J7" s="5">
        <f>9046*6</f>
        <v>54276</v>
      </c>
      <c r="K7" s="5">
        <v>0</v>
      </c>
      <c r="L7" s="89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Table1423569481011121314235[[#This Row],[Emergency NFI]]+Table1423569481011121314235[[#This Row],[NFI Replenishment ]]+Table1423569481011121314235[[#This Row],[NFI3]]</f>
        <v>1230</v>
      </c>
      <c r="F8" s="5">
        <f>Table1423569481011121314235[[#This Row],[Emergency Shelter]]+Table1423569481011121314235[[#This Row],[Shelter Upgrade/Repair]]+Table1423569481011121314235[[#This Row],[Shelter and housing options]]</f>
        <v>18</v>
      </c>
      <c r="G8" s="5">
        <v>1230</v>
      </c>
      <c r="H8" s="5">
        <v>12</v>
      </c>
      <c r="I8" s="5">
        <v>0</v>
      </c>
      <c r="J8" s="5">
        <f>1*6</f>
        <v>6</v>
      </c>
      <c r="K8" s="5">
        <v>0</v>
      </c>
      <c r="L8" s="89">
        <v>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Table1423569481011121314235[[#This Row],[Emergency NFI]]+Table1423569481011121314235[[#This Row],[NFI Replenishment ]]+Table1423569481011121314235[[#This Row],[NFI3]]</f>
        <v>0</v>
      </c>
      <c r="F9" s="5">
        <f>Table1423569481011121314235[[#This Row],[Emergency Shelter]]+Table1423569481011121314235[[#This Row],[Shelter Upgrade/Repair]]+Table1423569481011121314235[[#This Row],[Shelter and housing options]]</f>
        <v>5238</v>
      </c>
      <c r="G9" s="5">
        <v>0</v>
      </c>
      <c r="H9" s="5">
        <v>4242</v>
      </c>
      <c r="I9" s="5">
        <v>0</v>
      </c>
      <c r="J9" s="5">
        <f>166*6</f>
        <v>996</v>
      </c>
      <c r="K9" s="5">
        <v>0</v>
      </c>
      <c r="L9" s="89">
        <v>0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Table1423569481011121314235[[#This Row],[Emergency NFI]]+Table1423569481011121314235[[#This Row],[NFI Replenishment ]]+Table1423569481011121314235[[#This Row],[NFI3]]</f>
        <v>0</v>
      </c>
      <c r="F10" s="5">
        <f>Table1423569481011121314235[[#This Row],[Emergency Shelter]]+Table1423569481011121314235[[#This Row],[Shelter Upgrade/Repair]]+Table1423569481011121314235[[#This Row],[Shelter and housing options]]</f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89">
        <v>0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Table1423569481011121314235[[#This Row],[Emergency NFI]]+Table1423569481011121314235[[#This Row],[NFI Replenishment ]]+Table1423569481011121314235[[#This Row],[NFI3]]</f>
        <v>0</v>
      </c>
      <c r="F11" s="5">
        <f>Table1423569481011121314235[[#This Row],[Emergency Shelter]]+Table1423569481011121314235[[#This Row],[Shelter Upgrade/Repair]]+Table1423569481011121314235[[#This Row],[Shelter and housing options]]</f>
        <v>1164</v>
      </c>
      <c r="G11" s="5">
        <v>0</v>
      </c>
      <c r="H11" s="5">
        <v>300</v>
      </c>
      <c r="I11" s="5">
        <v>0</v>
      </c>
      <c r="J11" s="5">
        <f>144*6</f>
        <v>864</v>
      </c>
      <c r="K11" s="5">
        <v>0</v>
      </c>
      <c r="L11" s="89">
        <v>0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Table1423569481011121314235[[#This Row],[Emergency NFI]]+Table1423569481011121314235[[#This Row],[NFI Replenishment ]]+Table1423569481011121314235[[#This Row],[NFI3]]</f>
        <v>0</v>
      </c>
      <c r="F12" s="5">
        <f>Table1423569481011121314235[[#This Row],[Emergency Shelter]]+Table1423569481011121314235[[#This Row],[Shelter Upgrade/Repair]]+Table1423569481011121314235[[#This Row],[Shelter and housing options]]</f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89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Table1423569481011121314235[[#This Row],[Emergency NFI]]+Table1423569481011121314235[[#This Row],[NFI Replenishment ]]+Table1423569481011121314235[[#This Row],[NFI3]]</f>
        <v>0</v>
      </c>
      <c r="F13" s="5">
        <f>Table1423569481011121314235[[#This Row],[Emergency Shelter]]+Table1423569481011121314235[[#This Row],[Shelter Upgrade/Repair]]+Table1423569481011121314235[[#This Row],[Shelter and housing options]]</f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89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Table1423569481011121314235[[#This Row],[Emergency NFI]]+Table1423569481011121314235[[#This Row],[NFI Replenishment ]]+Table1423569481011121314235[[#This Row],[NFI3]]</f>
        <v>0</v>
      </c>
      <c r="F14" s="5">
        <f>Table1423569481011121314235[[#This Row],[Emergency Shelter]]+Table1423569481011121314235[[#This Row],[Shelter Upgrade/Repair]]+Table1423569481011121314235[[#This Row],[Shelter and housing options]]</f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89">
        <v>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Table1423569481011121314235[[#This Row],[Emergency NFI]]+Table1423569481011121314235[[#This Row],[NFI Replenishment ]]+Table1423569481011121314235[[#This Row],[NFI3]]</f>
        <v>9930</v>
      </c>
      <c r="F15" s="5">
        <f>Table1423569481011121314235[[#This Row],[Emergency Shelter]]+Table1423569481011121314235[[#This Row],[Shelter Upgrade/Repair]]+Table1423569481011121314235[[#This Row],[Shelter and housing options]]</f>
        <v>167892</v>
      </c>
      <c r="G15" s="5">
        <v>9930</v>
      </c>
      <c r="H15" s="5">
        <v>110256</v>
      </c>
      <c r="I15" s="5">
        <v>0</v>
      </c>
      <c r="J15" s="5">
        <f>9606*6</f>
        <v>57636</v>
      </c>
      <c r="K15" s="5">
        <v>0</v>
      </c>
      <c r="L15" s="89">
        <v>0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Table1423569481011121314235[[#This Row],[Emergency NFI]]+Table1423569481011121314235[[#This Row],[NFI Replenishment ]]+Table1423569481011121314235[[#This Row],[NFI3]]</f>
        <v>0</v>
      </c>
      <c r="F16" s="5">
        <f>Table1423569481011121314235[[#This Row],[Emergency Shelter]]+Table1423569481011121314235[[#This Row],[Shelter Upgrade/Repair]]+Table1423569481011121314235[[#This Row],[Shelter and housing options]]</f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89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Table1423569481011121314235[[#This Row],[Emergency NFI]]+Table1423569481011121314235[[#This Row],[NFI Replenishment ]]+Table1423569481011121314235[[#This Row],[NFI3]]</f>
        <v>2628</v>
      </c>
      <c r="F17" s="5">
        <f>Table1423569481011121314235[[#This Row],[Emergency Shelter]]+Table1423569481011121314235[[#This Row],[Shelter Upgrade/Repair]]+Table1423569481011121314235[[#This Row],[Shelter and housing options]]</f>
        <v>5100</v>
      </c>
      <c r="G17" s="5">
        <v>2628</v>
      </c>
      <c r="H17" s="5">
        <v>5100</v>
      </c>
      <c r="I17" s="5">
        <v>0</v>
      </c>
      <c r="J17" s="5">
        <v>0</v>
      </c>
      <c r="K17" s="5">
        <v>0</v>
      </c>
      <c r="L17" s="89">
        <v>0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Table1423569481011121314235[[#This Row],[Emergency NFI]]+Table1423569481011121314235[[#This Row],[NFI Replenishment ]]+Table1423569481011121314235[[#This Row],[NFI3]]</f>
        <v>10152</v>
      </c>
      <c r="F18" s="5">
        <f>Table1423569481011121314235[[#This Row],[Emergency Shelter]]+Table1423569481011121314235[[#This Row],[Shelter Upgrade/Repair]]+Table1423569481011121314235[[#This Row],[Shelter and housing options]]</f>
        <v>54</v>
      </c>
      <c r="G18" s="5">
        <v>10152</v>
      </c>
      <c r="H18" s="5">
        <v>48</v>
      </c>
      <c r="I18" s="5">
        <v>0</v>
      </c>
      <c r="J18" s="5">
        <f>1*6</f>
        <v>6</v>
      </c>
      <c r="K18" s="5">
        <v>0</v>
      </c>
      <c r="L18" s="89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Table1423569481011121314235[[#This Row],[Emergency NFI]]+Table1423569481011121314235[[#This Row],[NFI Replenishment ]]+Table1423569481011121314235[[#This Row],[NFI3]]</f>
        <v>0</v>
      </c>
      <c r="F19" s="5">
        <f>Table1423569481011121314235[[#This Row],[Emergency Shelter]]+Table1423569481011121314235[[#This Row],[Shelter Upgrade/Repair]]+Table1423569481011121314235[[#This Row],[Shelter and housing options]]</f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89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Table1423569481011121314235[[#This Row],[Emergency NFI]]+Table1423569481011121314235[[#This Row],[NFI Replenishment ]]+Table1423569481011121314235[[#This Row],[NFI3]]</f>
        <v>0</v>
      </c>
      <c r="F20" s="5">
        <f>Table1423569481011121314235[[#This Row],[Emergency Shelter]]+Table1423569481011121314235[[#This Row],[Shelter Upgrade/Repair]]+Table1423569481011121314235[[#This Row],[Shelter and housing options]]</f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89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38742</v>
      </c>
      <c r="F21" s="9">
        <f>Table1423569481011121314235[[#This Row],[Emergency Shelter]]+Table1423569481011121314235[[#This Row],[Shelter Upgrade/Repair]]+Table1423569481011121314235[[#This Row],[Shelter and housing options]]</f>
        <v>236826</v>
      </c>
      <c r="G21" s="9">
        <f>SUBTOTAL(109,G3:G20)</f>
        <v>38742</v>
      </c>
      <c r="H21" s="9">
        <f>SUBTOTAL(109,H3:H20)</f>
        <v>123036</v>
      </c>
      <c r="I21" s="9">
        <f t="shared" ref="I21:L21" si="0">SUBTOTAL(109,I3:I20)</f>
        <v>0</v>
      </c>
      <c r="J21" s="9">
        <f t="shared" si="0"/>
        <v>113790</v>
      </c>
      <c r="K21" s="9">
        <f t="shared" si="0"/>
        <v>0</v>
      </c>
      <c r="L21" s="9">
        <f t="shared" si="0"/>
        <v>0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L22" si="1">D21/6</f>
        <v>387723.49999999994</v>
      </c>
      <c r="E22" s="11">
        <f t="shared" si="1"/>
        <v>6457</v>
      </c>
      <c r="F22" s="11">
        <f>Table1423569481011121314235[[#This Row],[Emergency Shelter]]+Table1423569481011121314235[[#This Row],[Shelter Upgrade/Repair]]+Table1423569481011121314235[[#This Row],[Shelter and housing options]]</f>
        <v>39471</v>
      </c>
      <c r="G22" s="11">
        <f t="shared" si="1"/>
        <v>6457</v>
      </c>
      <c r="H22" s="11">
        <f t="shared" si="1"/>
        <v>20506</v>
      </c>
      <c r="I22" s="11">
        <f t="shared" si="1"/>
        <v>0</v>
      </c>
      <c r="J22" s="11">
        <f t="shared" si="1"/>
        <v>18965</v>
      </c>
      <c r="K22" s="11">
        <f t="shared" si="1"/>
        <v>0</v>
      </c>
      <c r="L22" s="11">
        <f t="shared" si="1"/>
        <v>0</v>
      </c>
    </row>
    <row r="23" spans="1:12" x14ac:dyDescent="0.25">
      <c r="A23" s="108"/>
      <c r="B23" s="109"/>
      <c r="C23" s="110"/>
      <c r="D23" s="110"/>
      <c r="E23" s="111">
        <f>E21/D21</f>
        <v>1.665362042795962E-2</v>
      </c>
      <c r="F23" s="111">
        <f>F21/D21</f>
        <v>0.10180192843611494</v>
      </c>
      <c r="G23" s="112"/>
      <c r="H23" s="110"/>
      <c r="I23" s="112"/>
      <c r="J23" s="110"/>
      <c r="K23" s="112"/>
      <c r="L23" s="11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2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2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3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4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4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4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4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4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4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4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4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4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4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4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4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4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4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4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4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4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5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6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H8" sqref="H8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27">
        <v>43009</v>
      </c>
      <c r="B1" s="93"/>
      <c r="C1" s="93"/>
      <c r="D1" s="93"/>
      <c r="E1" s="157" t="s">
        <v>143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Table14235694810111213142356[[#This Row],[Emergency NFI]]+Table14235694810111213142356[[#This Row],[NFI Replenishment ]]+Table14235694810111213142356[[#This Row],[NFI3]]</f>
        <v>18882</v>
      </c>
      <c r="F3" s="91">
        <f>Table14235694810111213142356[[#This Row],[Emergency Shelter]]+Table14235694810111213142356[[#This Row],[Shelter Upgrade/Repair]]+Table14235694810111213142356[[#This Row],[Shelter and housing options]]</f>
        <v>3720</v>
      </c>
      <c r="G3" s="91">
        <v>18882</v>
      </c>
      <c r="H3" s="91">
        <v>3720</v>
      </c>
      <c r="I3" s="91">
        <v>0</v>
      </c>
      <c r="J3" s="91">
        <v>0</v>
      </c>
      <c r="K3" s="91">
        <v>0</v>
      </c>
      <c r="L3" s="90">
        <v>0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Table14235694810111213142356[[#This Row],[Emergency NFI]]+Table14235694810111213142356[[#This Row],[NFI Replenishment ]]+Table14235694810111213142356[[#This Row],[NFI3]]</f>
        <v>0</v>
      </c>
      <c r="F4" s="5">
        <f>Table14235694810111213142356[[#This Row],[Emergency Shelter]]+Table14235694810111213142356[[#This Row],[Shelter Upgrade/Repair]]+Table14235694810111213142356[[#This Row],[Shelter and housing options]]</f>
        <v>0</v>
      </c>
      <c r="G4" s="91">
        <v>0</v>
      </c>
      <c r="H4" s="5">
        <v>0</v>
      </c>
      <c r="I4" s="5">
        <v>0</v>
      </c>
      <c r="J4" s="91">
        <v>0</v>
      </c>
      <c r="K4" s="5">
        <v>0</v>
      </c>
      <c r="L4" s="89">
        <v>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Table14235694810111213142356[[#This Row],[Emergency NFI]]+Table14235694810111213142356[[#This Row],[NFI Replenishment ]]+Table14235694810111213142356[[#This Row],[NFI3]]</f>
        <v>1950</v>
      </c>
      <c r="F5" s="5">
        <f>Table14235694810111213142356[[#This Row],[Emergency Shelter]]+Table14235694810111213142356[[#This Row],[Shelter Upgrade/Repair]]+Table14235694810111213142356[[#This Row],[Shelter and housing options]]</f>
        <v>0</v>
      </c>
      <c r="G5" s="5">
        <v>1950</v>
      </c>
      <c r="H5" s="5">
        <v>0</v>
      </c>
      <c r="I5" s="5">
        <v>0</v>
      </c>
      <c r="J5" s="5">
        <v>0</v>
      </c>
      <c r="K5" s="5">
        <v>0</v>
      </c>
      <c r="L5" s="89">
        <v>0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Table14235694810111213142356[[#This Row],[Emergency NFI]]+Table14235694810111213142356[[#This Row],[NFI Replenishment ]]+Table14235694810111213142356[[#This Row],[NFI3]]</f>
        <v>0</v>
      </c>
      <c r="F6" s="5">
        <f>Table14235694810111213142356[[#This Row],[Emergency Shelter]]+Table14235694810111213142356[[#This Row],[Shelter Upgrade/Repair]]+Table14235694810111213142356[[#This Row],[Shelter and housing options]]</f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89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Table14235694810111213142356[[#This Row],[Emergency NFI]]+Table14235694810111213142356[[#This Row],[NFI Replenishment ]]+Table14235694810111213142356[[#This Row],[NFI3]]</f>
        <v>0</v>
      </c>
      <c r="F7" s="5">
        <f>Table14235694810111213142356[[#This Row],[Emergency Shelter]]+Table14235694810111213142356[[#This Row],[Shelter Upgrade/Repair]]+Table14235694810111213142356[[#This Row],[Shelter and housing options]]</f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89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Table14235694810111213142356[[#This Row],[Emergency NFI]]+Table14235694810111213142356[[#This Row],[NFI Replenishment ]]+Table14235694810111213142356[[#This Row],[NFI3]]</f>
        <v>8832</v>
      </c>
      <c r="F8" s="5">
        <f>Table14235694810111213142356[[#This Row],[Emergency Shelter]]+Table14235694810111213142356[[#This Row],[Shelter Upgrade/Repair]]+Table14235694810111213142356[[#This Row],[Shelter and housing options]]</f>
        <v>2454</v>
      </c>
      <c r="G8" s="5">
        <v>8832</v>
      </c>
      <c r="H8" s="5">
        <v>1644</v>
      </c>
      <c r="I8" s="5">
        <v>0</v>
      </c>
      <c r="J8" s="5">
        <v>810</v>
      </c>
      <c r="K8" s="5">
        <v>0</v>
      </c>
      <c r="L8" s="89">
        <v>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Table14235694810111213142356[[#This Row],[Emergency NFI]]+Table14235694810111213142356[[#This Row],[NFI Replenishment ]]+Table14235694810111213142356[[#This Row],[NFI3]]</f>
        <v>2898</v>
      </c>
      <c r="F9" s="5">
        <f>Table14235694810111213142356[[#This Row],[Emergency Shelter]]+Table14235694810111213142356[[#This Row],[Shelter Upgrade/Repair]]+Table14235694810111213142356[[#This Row],[Shelter and housing options]]</f>
        <v>4620</v>
      </c>
      <c r="G9" s="5">
        <v>0</v>
      </c>
      <c r="H9" s="5">
        <v>4110</v>
      </c>
      <c r="I9" s="5">
        <v>2898</v>
      </c>
      <c r="J9" s="5">
        <v>510</v>
      </c>
      <c r="K9" s="5">
        <v>0</v>
      </c>
      <c r="L9" s="89">
        <v>0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Table14235694810111213142356[[#This Row],[Emergency NFI]]+Table14235694810111213142356[[#This Row],[NFI Replenishment ]]+Table14235694810111213142356[[#This Row],[NFI3]]</f>
        <v>0</v>
      </c>
      <c r="F10" s="5">
        <f>Table14235694810111213142356[[#This Row],[Emergency Shelter]]+Table14235694810111213142356[[#This Row],[Shelter Upgrade/Repair]]+Table14235694810111213142356[[#This Row],[Shelter and housing options]]</f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89">
        <v>0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Table14235694810111213142356[[#This Row],[Emergency NFI]]+Table14235694810111213142356[[#This Row],[NFI Replenishment ]]+Table14235694810111213142356[[#This Row],[NFI3]]</f>
        <v>1524</v>
      </c>
      <c r="F11" s="5">
        <f>Table14235694810111213142356[[#This Row],[Emergency Shelter]]+Table14235694810111213142356[[#This Row],[Shelter Upgrade/Repair]]+Table14235694810111213142356[[#This Row],[Shelter and housing options]]</f>
        <v>3078</v>
      </c>
      <c r="G11" s="5">
        <v>1524</v>
      </c>
      <c r="H11" s="5">
        <v>3078</v>
      </c>
      <c r="I11" s="5">
        <v>0</v>
      </c>
      <c r="J11" s="5">
        <v>0</v>
      </c>
      <c r="K11" s="5">
        <v>0</v>
      </c>
      <c r="L11" s="89">
        <v>0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Table14235694810111213142356[[#This Row],[Emergency NFI]]+Table14235694810111213142356[[#This Row],[NFI Replenishment ]]+Table14235694810111213142356[[#This Row],[NFI3]]</f>
        <v>0</v>
      </c>
      <c r="F12" s="5">
        <f>Table14235694810111213142356[[#This Row],[Emergency Shelter]]+Table14235694810111213142356[[#This Row],[Shelter Upgrade/Repair]]+Table14235694810111213142356[[#This Row],[Shelter and housing options]]</f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89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Table14235694810111213142356[[#This Row],[Emergency NFI]]+Table14235694810111213142356[[#This Row],[NFI Replenishment ]]+Table14235694810111213142356[[#This Row],[NFI3]]</f>
        <v>0</v>
      </c>
      <c r="F13" s="5">
        <f>Table14235694810111213142356[[#This Row],[Emergency Shelter]]+Table14235694810111213142356[[#This Row],[Shelter Upgrade/Repair]]+Table14235694810111213142356[[#This Row],[Shelter and housing options]]</f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89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Table14235694810111213142356[[#This Row],[Emergency NFI]]+Table14235694810111213142356[[#This Row],[NFI Replenishment ]]+Table14235694810111213142356[[#This Row],[NFI3]]</f>
        <v>0</v>
      </c>
      <c r="F14" s="5">
        <f>Table14235694810111213142356[[#This Row],[Emergency Shelter]]+Table14235694810111213142356[[#This Row],[Shelter Upgrade/Repair]]+Table14235694810111213142356[[#This Row],[Shelter and housing options]]</f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89">
        <v>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Table14235694810111213142356[[#This Row],[Emergency NFI]]+Table14235694810111213142356[[#This Row],[NFI Replenishment ]]+Table14235694810111213142356[[#This Row],[NFI3]]</f>
        <v>13596</v>
      </c>
      <c r="F15" s="5">
        <f>Table14235694810111213142356[[#This Row],[Emergency Shelter]]+Table14235694810111213142356[[#This Row],[Shelter Upgrade/Repair]]+Table14235694810111213142356[[#This Row],[Shelter and housing options]]</f>
        <v>182466</v>
      </c>
      <c r="G15" s="5">
        <v>13596</v>
      </c>
      <c r="H15" s="5">
        <v>176070</v>
      </c>
      <c r="I15" s="5">
        <v>0</v>
      </c>
      <c r="J15" s="5">
        <v>6228</v>
      </c>
      <c r="K15" s="5">
        <v>0</v>
      </c>
      <c r="L15" s="89">
        <v>168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Table14235694810111213142356[[#This Row],[Emergency NFI]]+Table14235694810111213142356[[#This Row],[NFI Replenishment ]]+Table14235694810111213142356[[#This Row],[NFI3]]</f>
        <v>0</v>
      </c>
      <c r="F16" s="5">
        <f>Table14235694810111213142356[[#This Row],[Emergency Shelter]]+Table14235694810111213142356[[#This Row],[Shelter Upgrade/Repair]]+Table14235694810111213142356[[#This Row],[Shelter and housing options]]</f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89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Table14235694810111213142356[[#This Row],[Emergency NFI]]+Table14235694810111213142356[[#This Row],[NFI Replenishment ]]+Table14235694810111213142356[[#This Row],[NFI3]]</f>
        <v>10926</v>
      </c>
      <c r="F17" s="5">
        <f>Table14235694810111213142356[[#This Row],[Emergency Shelter]]+Table14235694810111213142356[[#This Row],[Shelter Upgrade/Repair]]+Table14235694810111213142356[[#This Row],[Shelter and housing options]]</f>
        <v>3000</v>
      </c>
      <c r="G17" s="5">
        <v>10926</v>
      </c>
      <c r="H17" s="5">
        <v>0</v>
      </c>
      <c r="I17" s="5">
        <v>0</v>
      </c>
      <c r="J17" s="5">
        <v>3000</v>
      </c>
      <c r="K17" s="5">
        <v>0</v>
      </c>
      <c r="L17" s="89">
        <v>0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Table14235694810111213142356[[#This Row],[Emergency NFI]]+Table14235694810111213142356[[#This Row],[NFI Replenishment ]]+Table14235694810111213142356[[#This Row],[NFI3]]</f>
        <v>1578</v>
      </c>
      <c r="F18" s="5">
        <f>Table14235694810111213142356[[#This Row],[Emergency Shelter]]+Table14235694810111213142356[[#This Row],[Shelter Upgrade/Repair]]+Table14235694810111213142356[[#This Row],[Shelter and housing options]]</f>
        <v>6108</v>
      </c>
      <c r="G18" s="5">
        <v>1578</v>
      </c>
      <c r="H18" s="5">
        <v>2016</v>
      </c>
      <c r="I18" s="5">
        <v>0</v>
      </c>
      <c r="J18" s="5">
        <v>4092</v>
      </c>
      <c r="K18" s="5">
        <v>0</v>
      </c>
      <c r="L18" s="89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Table14235694810111213142356[[#This Row],[Emergency NFI]]+Table14235694810111213142356[[#This Row],[NFI Replenishment ]]+Table14235694810111213142356[[#This Row],[NFI3]]</f>
        <v>0</v>
      </c>
      <c r="F19" s="5">
        <f>Table14235694810111213142356[[#This Row],[Emergency Shelter]]+Table14235694810111213142356[[#This Row],[Shelter Upgrade/Repair]]+Table14235694810111213142356[[#This Row],[Shelter and housing options]]</f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89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Table14235694810111213142356[[#This Row],[Emergency NFI]]+Table14235694810111213142356[[#This Row],[NFI Replenishment ]]+Table14235694810111213142356[[#This Row],[NFI3]]</f>
        <v>0</v>
      </c>
      <c r="F20" s="5">
        <f>Table14235694810111213142356[[#This Row],[Emergency Shelter]]+Table14235694810111213142356[[#This Row],[Shelter Upgrade/Repair]]+Table14235694810111213142356[[#This Row],[Shelter and housing options]]</f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89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60186</v>
      </c>
      <c r="F21" s="9">
        <f>Table14235694810111213142356[[#This Row],[Emergency Shelter]]+Table14235694810111213142356[[#This Row],[Shelter Upgrade/Repair]]+Table14235694810111213142356[[#This Row],[Shelter and housing options]]</f>
        <v>205446</v>
      </c>
      <c r="G21" s="9">
        <f>SUBTOTAL(109,G3:G20)</f>
        <v>57288</v>
      </c>
      <c r="H21" s="9">
        <f>SUBTOTAL(109,H3:H20)</f>
        <v>190638</v>
      </c>
      <c r="I21" s="9">
        <f t="shared" ref="I21:L21" si="0">SUBTOTAL(109,I3:I20)</f>
        <v>2898</v>
      </c>
      <c r="J21" s="9">
        <f t="shared" si="0"/>
        <v>14640</v>
      </c>
      <c r="K21" s="9">
        <f t="shared" si="0"/>
        <v>0</v>
      </c>
      <c r="L21" s="9">
        <f t="shared" si="0"/>
        <v>168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L22" si="1">D21/6</f>
        <v>387723.49999999994</v>
      </c>
      <c r="E22" s="11">
        <f t="shared" si="1"/>
        <v>10031</v>
      </c>
      <c r="F22" s="11">
        <f>Table14235694810111213142356[[#This Row],[Emergency Shelter]]+Table14235694810111213142356[[#This Row],[Shelter Upgrade/Repair]]+Table14235694810111213142356[[#This Row],[Shelter and housing options]]</f>
        <v>34241</v>
      </c>
      <c r="G22" s="11">
        <f t="shared" si="1"/>
        <v>9548</v>
      </c>
      <c r="H22" s="11">
        <f t="shared" si="1"/>
        <v>31773</v>
      </c>
      <c r="I22" s="11">
        <f t="shared" si="1"/>
        <v>483</v>
      </c>
      <c r="J22" s="11">
        <f t="shared" si="1"/>
        <v>2440</v>
      </c>
      <c r="K22" s="11">
        <f t="shared" si="1"/>
        <v>0</v>
      </c>
      <c r="L22" s="11">
        <f t="shared" si="1"/>
        <v>28</v>
      </c>
    </row>
    <row r="23" spans="1:12" x14ac:dyDescent="0.25">
      <c r="A23" s="128"/>
      <c r="B23" s="129"/>
      <c r="C23" s="130"/>
      <c r="D23" s="130"/>
      <c r="E23" s="131">
        <f>E21/D21</f>
        <v>2.5871529582292541E-2</v>
      </c>
      <c r="F23" s="131">
        <f>F21/D21</f>
        <v>8.8312934346254507E-2</v>
      </c>
      <c r="G23" s="132"/>
      <c r="H23" s="130"/>
      <c r="I23" s="132"/>
      <c r="J23" s="130"/>
      <c r="K23" s="132"/>
      <c r="L23" s="13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2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2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3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4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4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4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4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4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4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4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4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4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4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4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4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4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4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4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4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4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5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6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J26" sqref="J26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27">
        <v>43040</v>
      </c>
      <c r="B1" s="93"/>
      <c r="C1" s="93"/>
      <c r="D1" s="93"/>
      <c r="E1" s="157" t="s">
        <v>144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Table142356948101112131423567[[#This Row],[Emergency NFI]]+Table142356948101112131423567[[#This Row],[NFI Replenishment ]]+Table142356948101112131423567[[#This Row],[NFI3]]</f>
        <v>0</v>
      </c>
      <c r="F3" s="91">
        <f>Table142356948101112131423567[[#This Row],[Emergency Shelter]]+Table142356948101112131423567[[#This Row],[Shelter Upgrade/Repair]]+Table142356948101112131423567[[#This Row],[Shelter and housing options]]</f>
        <v>0</v>
      </c>
      <c r="G3" s="91">
        <v>0</v>
      </c>
      <c r="H3" s="91">
        <v>0</v>
      </c>
      <c r="I3" s="91">
        <v>0</v>
      </c>
      <c r="J3" s="91">
        <v>0</v>
      </c>
      <c r="K3" s="91">
        <v>0</v>
      </c>
      <c r="L3" s="91">
        <v>0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Table142356948101112131423567[[#This Row],[Emergency NFI]]+Table142356948101112131423567[[#This Row],[NFI Replenishment ]]+Table142356948101112131423567[[#This Row],[NFI3]]</f>
        <v>0</v>
      </c>
      <c r="F4" s="5">
        <f>Table142356948101112131423567[[#This Row],[Emergency Shelter]]+Table142356948101112131423567[[#This Row],[Shelter Upgrade/Repair]]+Table142356948101112131423567[[#This Row],[Shelter and housing options]]</f>
        <v>0</v>
      </c>
      <c r="G4" s="91">
        <v>0</v>
      </c>
      <c r="H4" s="91">
        <v>0</v>
      </c>
      <c r="I4" s="91">
        <v>0</v>
      </c>
      <c r="J4" s="91">
        <v>0</v>
      </c>
      <c r="K4" s="91">
        <v>0</v>
      </c>
      <c r="L4" s="91">
        <v>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Table142356948101112131423567[[#This Row],[Emergency NFI]]+Table142356948101112131423567[[#This Row],[NFI Replenishment ]]+Table142356948101112131423567[[#This Row],[NFI3]]</f>
        <v>0</v>
      </c>
      <c r="F5" s="5">
        <f>Table142356948101112131423567[[#This Row],[Emergency Shelter]]+Table142356948101112131423567[[#This Row],[Shelter Upgrade/Repair]]+Table142356948101112131423567[[#This Row],[Shelter and housing options]]</f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0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Table142356948101112131423567[[#This Row],[Emergency NFI]]+Table142356948101112131423567[[#This Row],[NFI Replenishment ]]+Table142356948101112131423567[[#This Row],[NFI3]]</f>
        <v>0</v>
      </c>
      <c r="F6" s="5">
        <f>Table142356948101112131423567[[#This Row],[Emergency Shelter]]+Table142356948101112131423567[[#This Row],[Shelter Upgrade/Repair]]+Table142356948101112131423567[[#This Row],[Shelter and housing options]]</f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Table142356948101112131423567[[#This Row],[Emergency NFI]]+Table142356948101112131423567[[#This Row],[NFI Replenishment ]]+Table142356948101112131423567[[#This Row],[NFI3]]</f>
        <v>0</v>
      </c>
      <c r="F7" s="5">
        <f>Table142356948101112131423567[[#This Row],[Emergency Shelter]]+Table142356948101112131423567[[#This Row],[Shelter Upgrade/Repair]]+Table142356948101112131423567[[#This Row],[Shelter and housing options]]</f>
        <v>6312</v>
      </c>
      <c r="G7" s="91">
        <v>0</v>
      </c>
      <c r="H7" s="91">
        <v>6312</v>
      </c>
      <c r="I7" s="91">
        <v>0</v>
      </c>
      <c r="J7" s="91">
        <v>0</v>
      </c>
      <c r="K7" s="91">
        <v>0</v>
      </c>
      <c r="L7" s="91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Table142356948101112131423567[[#This Row],[Emergency NFI]]+Table142356948101112131423567[[#This Row],[NFI Replenishment ]]+Table142356948101112131423567[[#This Row],[NFI3]]</f>
        <v>60</v>
      </c>
      <c r="F8" s="5">
        <f>Table142356948101112131423567[[#This Row],[Emergency Shelter]]+Table142356948101112131423567[[#This Row],[Shelter Upgrade/Repair]]+Table142356948101112131423567[[#This Row],[Shelter and housing options]]</f>
        <v>3162</v>
      </c>
      <c r="G8" s="91">
        <v>60</v>
      </c>
      <c r="H8" s="91">
        <v>1662</v>
      </c>
      <c r="I8" s="91">
        <v>0</v>
      </c>
      <c r="J8" s="91">
        <f>250*6</f>
        <v>1500</v>
      </c>
      <c r="K8" s="91">
        <v>0</v>
      </c>
      <c r="L8" s="91">
        <v>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Table142356948101112131423567[[#This Row],[Emergency NFI]]+Table142356948101112131423567[[#This Row],[NFI Replenishment ]]+Table142356948101112131423567[[#This Row],[NFI3]]</f>
        <v>31986</v>
      </c>
      <c r="F9" s="5">
        <f>Table142356948101112131423567[[#This Row],[Emergency Shelter]]+Table142356948101112131423567[[#This Row],[Shelter Upgrade/Repair]]+Table142356948101112131423567[[#This Row],[Shelter and housing options]]</f>
        <v>69528</v>
      </c>
      <c r="G9" s="91">
        <v>0</v>
      </c>
      <c r="H9" s="91">
        <v>69528</v>
      </c>
      <c r="I9" s="91">
        <f>5331*6</f>
        <v>31986</v>
      </c>
      <c r="J9" s="91">
        <v>0</v>
      </c>
      <c r="K9" s="91">
        <v>0</v>
      </c>
      <c r="L9" s="91">
        <v>0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Table142356948101112131423567[[#This Row],[Emergency NFI]]+Table142356948101112131423567[[#This Row],[NFI Replenishment ]]+Table142356948101112131423567[[#This Row],[NFI3]]</f>
        <v>0</v>
      </c>
      <c r="F10" s="5">
        <f>Table142356948101112131423567[[#This Row],[Emergency Shelter]]+Table142356948101112131423567[[#This Row],[Shelter Upgrade/Repair]]+Table142356948101112131423567[[#This Row],[Shelter and housing options]]</f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Table142356948101112131423567[[#This Row],[Emergency NFI]]+Table142356948101112131423567[[#This Row],[NFI Replenishment ]]+Table142356948101112131423567[[#This Row],[NFI3]]</f>
        <v>18834</v>
      </c>
      <c r="F11" s="5">
        <f>Table142356948101112131423567[[#This Row],[Emergency Shelter]]+Table142356948101112131423567[[#This Row],[Shelter Upgrade/Repair]]+Table142356948101112131423567[[#This Row],[Shelter and housing options]]</f>
        <v>20148</v>
      </c>
      <c r="G11" s="91">
        <v>18834</v>
      </c>
      <c r="H11" s="91">
        <v>13932</v>
      </c>
      <c r="I11" s="91">
        <v>0</v>
      </c>
      <c r="J11" s="91">
        <f>1036*6</f>
        <v>6216</v>
      </c>
      <c r="K11" s="91">
        <v>0</v>
      </c>
      <c r="L11" s="91">
        <v>0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Table142356948101112131423567[[#This Row],[Emergency NFI]]+Table142356948101112131423567[[#This Row],[NFI Replenishment ]]+Table142356948101112131423567[[#This Row],[NFI3]]</f>
        <v>0</v>
      </c>
      <c r="F12" s="5">
        <f>Table142356948101112131423567[[#This Row],[Emergency Shelter]]+Table142356948101112131423567[[#This Row],[Shelter Upgrade/Repair]]+Table142356948101112131423567[[#This Row],[Shelter and housing options]]</f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Table142356948101112131423567[[#This Row],[Emergency NFI]]+Table142356948101112131423567[[#This Row],[NFI Replenishment ]]+Table142356948101112131423567[[#This Row],[NFI3]]</f>
        <v>450</v>
      </c>
      <c r="F13" s="5">
        <f>Table142356948101112131423567[[#This Row],[Emergency Shelter]]+Table142356948101112131423567[[#This Row],[Shelter Upgrade/Repair]]+Table142356948101112131423567[[#This Row],[Shelter and housing options]]</f>
        <v>0</v>
      </c>
      <c r="G13" s="91">
        <v>450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Table142356948101112131423567[[#This Row],[Emergency NFI]]+Table142356948101112131423567[[#This Row],[NFI Replenishment ]]+Table142356948101112131423567[[#This Row],[NFI3]]</f>
        <v>0</v>
      </c>
      <c r="F14" s="5">
        <f>Table142356948101112131423567[[#This Row],[Emergency Shelter]]+Table142356948101112131423567[[#This Row],[Shelter Upgrade/Repair]]+Table142356948101112131423567[[#This Row],[Shelter and housing options]]</f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Table142356948101112131423567[[#This Row],[Emergency NFI]]+Table142356948101112131423567[[#This Row],[NFI Replenishment ]]+Table142356948101112131423567[[#This Row],[NFI3]]</f>
        <v>13470</v>
      </c>
      <c r="F15" s="5">
        <f>Table142356948101112131423567[[#This Row],[Emergency Shelter]]+Table142356948101112131423567[[#This Row],[Shelter Upgrade/Repair]]+Table142356948101112131423567[[#This Row],[Shelter and housing options]]</f>
        <v>118830</v>
      </c>
      <c r="G15" s="91">
        <v>13470</v>
      </c>
      <c r="H15" s="91">
        <v>102030</v>
      </c>
      <c r="I15" s="91">
        <v>0</v>
      </c>
      <c r="J15" s="91">
        <f>2800*6</f>
        <v>16800</v>
      </c>
      <c r="K15" s="91">
        <v>0</v>
      </c>
      <c r="L15" s="91">
        <v>0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Table142356948101112131423567[[#This Row],[Emergency NFI]]+Table142356948101112131423567[[#This Row],[NFI Replenishment ]]+Table142356948101112131423567[[#This Row],[NFI3]]</f>
        <v>900</v>
      </c>
      <c r="F16" s="5">
        <f>Table142356948101112131423567[[#This Row],[Emergency Shelter]]+Table142356948101112131423567[[#This Row],[Shelter Upgrade/Repair]]+Table142356948101112131423567[[#This Row],[Shelter and housing options]]</f>
        <v>0</v>
      </c>
      <c r="G16" s="91">
        <v>900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Table142356948101112131423567[[#This Row],[Emergency NFI]]+Table142356948101112131423567[[#This Row],[NFI Replenishment ]]+Table142356948101112131423567[[#This Row],[NFI3]]</f>
        <v>5322</v>
      </c>
      <c r="F17" s="5">
        <f>Table142356948101112131423567[[#This Row],[Emergency Shelter]]+Table142356948101112131423567[[#This Row],[Shelter Upgrade/Repair]]+Table142356948101112131423567[[#This Row],[Shelter and housing options]]</f>
        <v>0</v>
      </c>
      <c r="G17" s="91">
        <v>5322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Table142356948101112131423567[[#This Row],[Emergency NFI]]+Table142356948101112131423567[[#This Row],[NFI Replenishment ]]+Table142356948101112131423567[[#This Row],[NFI3]]</f>
        <v>1404</v>
      </c>
      <c r="F18" s="5">
        <f>Table142356948101112131423567[[#This Row],[Emergency Shelter]]+Table142356948101112131423567[[#This Row],[Shelter Upgrade/Repair]]+Table142356948101112131423567[[#This Row],[Shelter and housing options]]</f>
        <v>13080</v>
      </c>
      <c r="G18" s="91">
        <v>1404</v>
      </c>
      <c r="H18" s="91">
        <v>12048</v>
      </c>
      <c r="I18" s="91">
        <v>0</v>
      </c>
      <c r="J18" s="91">
        <f>172*6</f>
        <v>1032</v>
      </c>
      <c r="K18" s="91">
        <v>0</v>
      </c>
      <c r="L18" s="91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Table142356948101112131423567[[#This Row],[Emergency NFI]]+Table142356948101112131423567[[#This Row],[NFI Replenishment ]]+Table142356948101112131423567[[#This Row],[NFI3]]</f>
        <v>750</v>
      </c>
      <c r="F19" s="5">
        <f>Table142356948101112131423567[[#This Row],[Emergency Shelter]]+Table142356948101112131423567[[#This Row],[Shelter Upgrade/Repair]]+Table142356948101112131423567[[#This Row],[Shelter and housing options]]</f>
        <v>0</v>
      </c>
      <c r="G19" s="91">
        <v>750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Table142356948101112131423567[[#This Row],[Emergency NFI]]+Table142356948101112131423567[[#This Row],[NFI Replenishment ]]+Table142356948101112131423567[[#This Row],[NFI3]]</f>
        <v>0</v>
      </c>
      <c r="F20" s="5">
        <f>Table142356948101112131423567[[#This Row],[Emergency Shelter]]+Table142356948101112131423567[[#This Row],[Shelter Upgrade/Repair]]+Table142356948101112131423567[[#This Row],[Shelter and housing options]]</f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73176</v>
      </c>
      <c r="F21" s="9">
        <f>Table142356948101112131423567[[#This Row],[Emergency Shelter]]+Table142356948101112131423567[[#This Row],[Shelter Upgrade/Repair]]+Table142356948101112131423567[[#This Row],[Shelter and housing options]]</f>
        <v>231060</v>
      </c>
      <c r="G21" s="9">
        <f>SUBTOTAL(109,G3:G20)</f>
        <v>41190</v>
      </c>
      <c r="H21" s="9">
        <f>SUBTOTAL(109,H3:H20)</f>
        <v>205512</v>
      </c>
      <c r="I21" s="9">
        <f t="shared" ref="I21:L21" si="0">SUBTOTAL(109,I3:I20)</f>
        <v>31986</v>
      </c>
      <c r="J21" s="9">
        <f t="shared" si="0"/>
        <v>25548</v>
      </c>
      <c r="K21" s="9">
        <f t="shared" si="0"/>
        <v>0</v>
      </c>
      <c r="L21" s="9">
        <f t="shared" si="0"/>
        <v>0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L22" si="1">D21/6</f>
        <v>387723.49999999994</v>
      </c>
      <c r="E22" s="11">
        <f t="shared" si="1"/>
        <v>12196</v>
      </c>
      <c r="F22" s="11">
        <f>Table142356948101112131423567[[#This Row],[Emergency Shelter]]+Table142356948101112131423567[[#This Row],[Shelter Upgrade/Repair]]+Table142356948101112131423567[[#This Row],[Shelter and housing options]]</f>
        <v>38510</v>
      </c>
      <c r="G22" s="11">
        <f t="shared" si="1"/>
        <v>6865</v>
      </c>
      <c r="H22" s="11">
        <f t="shared" si="1"/>
        <v>34252</v>
      </c>
      <c r="I22" s="11">
        <f t="shared" si="1"/>
        <v>5331</v>
      </c>
      <c r="J22" s="11">
        <f t="shared" si="1"/>
        <v>4258</v>
      </c>
      <c r="K22" s="11">
        <f t="shared" si="1"/>
        <v>0</v>
      </c>
      <c r="L22" s="11">
        <f t="shared" si="1"/>
        <v>0</v>
      </c>
    </row>
    <row r="23" spans="1:12" x14ac:dyDescent="0.25">
      <c r="A23" s="128"/>
      <c r="B23" s="129"/>
      <c r="C23" s="130"/>
      <c r="D23" s="130"/>
      <c r="E23" s="131">
        <f>E21/D21</f>
        <v>3.1455405720829409E-2</v>
      </c>
      <c r="F23" s="131">
        <f>F21/D21</f>
        <v>9.9323358011572702E-2</v>
      </c>
      <c r="G23" s="132"/>
      <c r="H23" s="130"/>
      <c r="I23" s="132"/>
      <c r="J23" s="130"/>
      <c r="K23" s="132"/>
      <c r="L23" s="13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2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2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3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4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4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4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4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4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4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4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4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4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4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4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4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4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4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4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4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4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5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6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AC45-F5AD-4216-9DC5-525939A6C9EF}">
  <dimension ref="A1:L60"/>
  <sheetViews>
    <sheetView showGridLines="0" tabSelected="1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F26" sqref="F26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27">
        <v>43070</v>
      </c>
      <c r="B1" s="93"/>
      <c r="C1" s="93"/>
      <c r="D1" s="93"/>
      <c r="E1" s="157" t="s">
        <v>146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Table1423569481011121314235679[[#This Row],[Emergency NFI]]+Table1423569481011121314235679[[#This Row],[NFI Replenishment ]]+Table1423569481011121314235679[[#This Row],[NFI3]]</f>
        <v>17256</v>
      </c>
      <c r="F3" s="91">
        <f>Table1423569481011121314235679[[#This Row],[Emergency Shelter]]+Table1423569481011121314235679[[#This Row],[Shelter Upgrade/Repair]]+Table1423569481011121314235679[[#This Row],[Shelter and housing options]]</f>
        <v>15306</v>
      </c>
      <c r="G3" s="91">
        <v>17256</v>
      </c>
      <c r="H3" s="91">
        <v>4968</v>
      </c>
      <c r="I3" s="91">
        <v>0</v>
      </c>
      <c r="J3" s="91">
        <v>10338</v>
      </c>
      <c r="K3" s="91">
        <v>0</v>
      </c>
      <c r="L3" s="91">
        <v>0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Table1423569481011121314235679[[#This Row],[Emergency NFI]]+Table1423569481011121314235679[[#This Row],[NFI Replenishment ]]+Table1423569481011121314235679[[#This Row],[NFI3]]</f>
        <v>0</v>
      </c>
      <c r="F4" s="5">
        <f>Table1423569481011121314235679[[#This Row],[Emergency Shelter]]+Table1423569481011121314235679[[#This Row],[Shelter Upgrade/Repair]]+Table1423569481011121314235679[[#This Row],[Shelter and housing options]]</f>
        <v>0</v>
      </c>
      <c r="G4" s="91">
        <v>0</v>
      </c>
      <c r="H4" s="91">
        <v>0</v>
      </c>
      <c r="I4" s="91">
        <v>0</v>
      </c>
      <c r="J4" s="91">
        <v>0</v>
      </c>
      <c r="K4" s="91">
        <v>0</v>
      </c>
      <c r="L4" s="91">
        <v>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Table1423569481011121314235679[[#This Row],[Emergency NFI]]+Table1423569481011121314235679[[#This Row],[NFI Replenishment ]]+Table1423569481011121314235679[[#This Row],[NFI3]]</f>
        <v>18</v>
      </c>
      <c r="F5" s="5">
        <f>Table1423569481011121314235679[[#This Row],[Emergency Shelter]]+Table1423569481011121314235679[[#This Row],[Shelter Upgrade/Repair]]+Table1423569481011121314235679[[#This Row],[Shelter and housing options]]</f>
        <v>1518</v>
      </c>
      <c r="G5" s="91">
        <v>18</v>
      </c>
      <c r="H5" s="91">
        <v>18</v>
      </c>
      <c r="I5" s="91">
        <v>0</v>
      </c>
      <c r="J5" s="91">
        <v>0</v>
      </c>
      <c r="K5" s="91">
        <v>0</v>
      </c>
      <c r="L5" s="91">
        <f>250*6</f>
        <v>1500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Table1423569481011121314235679[[#This Row],[Emergency NFI]]+Table1423569481011121314235679[[#This Row],[NFI Replenishment ]]+Table1423569481011121314235679[[#This Row],[NFI3]]</f>
        <v>750</v>
      </c>
      <c r="F6" s="5">
        <f>Table1423569481011121314235679[[#This Row],[Emergency Shelter]]+Table1423569481011121314235679[[#This Row],[Shelter Upgrade/Repair]]+Table1423569481011121314235679[[#This Row],[Shelter and housing options]]</f>
        <v>0</v>
      </c>
      <c r="G6" s="91">
        <v>750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Table1423569481011121314235679[[#This Row],[Emergency NFI]]+Table1423569481011121314235679[[#This Row],[NFI Replenishment ]]+Table1423569481011121314235679[[#This Row],[NFI3]]</f>
        <v>2832</v>
      </c>
      <c r="F7" s="5">
        <f>Table1423569481011121314235679[[#This Row],[Emergency Shelter]]+Table1423569481011121314235679[[#This Row],[Shelter Upgrade/Repair]]+Table1423569481011121314235679[[#This Row],[Shelter and housing options]]</f>
        <v>18</v>
      </c>
      <c r="G7" s="91">
        <v>2832</v>
      </c>
      <c r="H7" s="91">
        <v>18</v>
      </c>
      <c r="I7" s="91">
        <v>0</v>
      </c>
      <c r="J7" s="91">
        <v>0</v>
      </c>
      <c r="K7" s="91">
        <v>0</v>
      </c>
      <c r="L7" s="91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Table1423569481011121314235679[[#This Row],[Emergency NFI]]+Table1423569481011121314235679[[#This Row],[NFI Replenishment ]]+Table1423569481011121314235679[[#This Row],[NFI3]]</f>
        <v>66</v>
      </c>
      <c r="F8" s="5">
        <f>Table1423569481011121314235679[[#This Row],[Emergency Shelter]]+Table1423569481011121314235679[[#This Row],[Shelter Upgrade/Repair]]+Table1423569481011121314235679[[#This Row],[Shelter and housing options]]</f>
        <v>726</v>
      </c>
      <c r="G8" s="91">
        <v>66</v>
      </c>
      <c r="H8" s="91">
        <v>6</v>
      </c>
      <c r="I8" s="91">
        <v>0</v>
      </c>
      <c r="J8" s="91">
        <v>720</v>
      </c>
      <c r="K8" s="91">
        <v>0</v>
      </c>
      <c r="L8" s="91">
        <v>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Table1423569481011121314235679[[#This Row],[Emergency NFI]]+Table1423569481011121314235679[[#This Row],[NFI Replenishment ]]+Table1423569481011121314235679[[#This Row],[NFI3]]</f>
        <v>69816</v>
      </c>
      <c r="F9" s="5">
        <f>Table1423569481011121314235679[[#This Row],[Emergency Shelter]]+Table1423569481011121314235679[[#This Row],[Shelter Upgrade/Repair]]+Table1423569481011121314235679[[#This Row],[Shelter and housing options]]</f>
        <v>46326</v>
      </c>
      <c r="G9" s="91">
        <v>8202</v>
      </c>
      <c r="H9" s="91">
        <v>46326</v>
      </c>
      <c r="I9" s="91">
        <v>61614</v>
      </c>
      <c r="J9" s="91">
        <v>0</v>
      </c>
      <c r="K9" s="91">
        <v>0</v>
      </c>
      <c r="L9" s="91">
        <v>0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Table1423569481011121314235679[[#This Row],[Emergency NFI]]+Table1423569481011121314235679[[#This Row],[NFI Replenishment ]]+Table1423569481011121314235679[[#This Row],[NFI3]]</f>
        <v>0</v>
      </c>
      <c r="F10" s="5">
        <f>Table1423569481011121314235679[[#This Row],[Emergency Shelter]]+Table1423569481011121314235679[[#This Row],[Shelter Upgrade/Repair]]+Table1423569481011121314235679[[#This Row],[Shelter and housing options]]</f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Table1423569481011121314235679[[#This Row],[Emergency NFI]]+Table1423569481011121314235679[[#This Row],[NFI Replenishment ]]+Table1423569481011121314235679[[#This Row],[NFI3]]</f>
        <v>31542</v>
      </c>
      <c r="F11" s="5">
        <f>Table1423569481011121314235679[[#This Row],[Emergency Shelter]]+Table1423569481011121314235679[[#This Row],[Shelter Upgrade/Repair]]+Table1423569481011121314235679[[#This Row],[Shelter and housing options]]</f>
        <v>6750</v>
      </c>
      <c r="G11" s="91">
        <v>31542</v>
      </c>
      <c r="H11" s="91">
        <v>6750</v>
      </c>
      <c r="I11" s="91">
        <v>0</v>
      </c>
      <c r="J11" s="91">
        <v>0</v>
      </c>
      <c r="K11" s="91">
        <v>0</v>
      </c>
      <c r="L11" s="91">
        <v>0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Table1423569481011121314235679[[#This Row],[Emergency NFI]]+Table1423569481011121314235679[[#This Row],[NFI Replenishment ]]+Table1423569481011121314235679[[#This Row],[NFI3]]</f>
        <v>0</v>
      </c>
      <c r="F12" s="5">
        <f>Table1423569481011121314235679[[#This Row],[Emergency Shelter]]+Table1423569481011121314235679[[#This Row],[Shelter Upgrade/Repair]]+Table1423569481011121314235679[[#This Row],[Shelter and housing options]]</f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Table1423569481011121314235679[[#This Row],[Emergency NFI]]+Table1423569481011121314235679[[#This Row],[NFI Replenishment ]]+Table1423569481011121314235679[[#This Row],[NFI3]]</f>
        <v>0</v>
      </c>
      <c r="F13" s="5">
        <f>Table1423569481011121314235679[[#This Row],[Emergency Shelter]]+Table1423569481011121314235679[[#This Row],[Shelter Upgrade/Repair]]+Table1423569481011121314235679[[#This Row],[Shelter and housing options]]</f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Table1423569481011121314235679[[#This Row],[Emergency NFI]]+Table1423569481011121314235679[[#This Row],[NFI Replenishment ]]+Table1423569481011121314235679[[#This Row],[NFI3]]</f>
        <v>0</v>
      </c>
      <c r="F14" s="5">
        <f>Table1423569481011121314235679[[#This Row],[Emergency Shelter]]+Table1423569481011121314235679[[#This Row],[Shelter Upgrade/Repair]]+Table1423569481011121314235679[[#This Row],[Shelter and housing options]]</f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Table1423569481011121314235679[[#This Row],[Emergency NFI]]+Table1423569481011121314235679[[#This Row],[NFI Replenishment ]]+Table1423569481011121314235679[[#This Row],[NFI3]]</f>
        <v>120606</v>
      </c>
      <c r="F15" s="5">
        <f>Table1423569481011121314235679[[#This Row],[Emergency Shelter]]+Table1423569481011121314235679[[#This Row],[Shelter Upgrade/Repair]]+Table1423569481011121314235679[[#This Row],[Shelter and housing options]]</f>
        <v>37170</v>
      </c>
      <c r="G15" s="91">
        <v>120606</v>
      </c>
      <c r="H15" s="91">
        <v>21546</v>
      </c>
      <c r="I15" s="91">
        <v>0</v>
      </c>
      <c r="J15" s="91">
        <v>14724</v>
      </c>
      <c r="K15" s="91">
        <v>0</v>
      </c>
      <c r="L15" s="91">
        <f>150*6</f>
        <v>900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Table1423569481011121314235679[[#This Row],[Emergency NFI]]+Table1423569481011121314235679[[#This Row],[NFI Replenishment ]]+Table1423569481011121314235679[[#This Row],[NFI3]]</f>
        <v>0</v>
      </c>
      <c r="F16" s="5">
        <f>Table1423569481011121314235679[[#This Row],[Emergency Shelter]]+Table1423569481011121314235679[[#This Row],[Shelter Upgrade/Repair]]+Table1423569481011121314235679[[#This Row],[Shelter and housing options]]</f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Table1423569481011121314235679[[#This Row],[Emergency NFI]]+Table1423569481011121314235679[[#This Row],[NFI Replenishment ]]+Table1423569481011121314235679[[#This Row],[NFI3]]</f>
        <v>6954</v>
      </c>
      <c r="F17" s="5">
        <f>Table1423569481011121314235679[[#This Row],[Emergency Shelter]]+Table1423569481011121314235679[[#This Row],[Shelter Upgrade/Repair]]+Table1423569481011121314235679[[#This Row],[Shelter and housing options]]</f>
        <v>3000</v>
      </c>
      <c r="G17" s="91">
        <v>6954</v>
      </c>
      <c r="H17" s="91">
        <v>0</v>
      </c>
      <c r="I17" s="91">
        <v>0</v>
      </c>
      <c r="J17" s="91">
        <v>0</v>
      </c>
      <c r="K17" s="91">
        <v>0</v>
      </c>
      <c r="L17" s="91">
        <f>500*6</f>
        <v>3000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Table1423569481011121314235679[[#This Row],[Emergency NFI]]+Table1423569481011121314235679[[#This Row],[NFI Replenishment ]]+Table1423569481011121314235679[[#This Row],[NFI3]]</f>
        <v>696</v>
      </c>
      <c r="F18" s="5">
        <f>Table1423569481011121314235679[[#This Row],[Emergency Shelter]]+Table1423569481011121314235679[[#This Row],[Shelter Upgrade/Repair]]+Table1423569481011121314235679[[#This Row],[Shelter and housing options]]</f>
        <v>1164</v>
      </c>
      <c r="G18" s="91">
        <v>696</v>
      </c>
      <c r="H18" s="91">
        <v>474</v>
      </c>
      <c r="I18" s="91">
        <v>0</v>
      </c>
      <c r="J18" s="91">
        <v>690</v>
      </c>
      <c r="K18" s="91">
        <v>0</v>
      </c>
      <c r="L18" s="91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Table1423569481011121314235679[[#This Row],[Emergency NFI]]+Table1423569481011121314235679[[#This Row],[NFI Replenishment ]]+Table1423569481011121314235679[[#This Row],[NFI3]]</f>
        <v>0</v>
      </c>
      <c r="F19" s="5">
        <f>Table1423569481011121314235679[[#This Row],[Emergency Shelter]]+Table1423569481011121314235679[[#This Row],[Shelter Upgrade/Repair]]+Table1423569481011121314235679[[#This Row],[Shelter and housing options]]</f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Table1423569481011121314235679[[#This Row],[Emergency NFI]]+Table1423569481011121314235679[[#This Row],[NFI Replenishment ]]+Table1423569481011121314235679[[#This Row],[NFI3]]</f>
        <v>0</v>
      </c>
      <c r="F20" s="5">
        <f>Table1423569481011121314235679[[#This Row],[Emergency Shelter]]+Table1423569481011121314235679[[#This Row],[Shelter Upgrade/Repair]]+Table1423569481011121314235679[[#This Row],[Shelter and housing options]]</f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250536</v>
      </c>
      <c r="F21" s="9">
        <f>Table1423569481011121314235679[[#This Row],[Emergency Shelter]]+Table1423569481011121314235679[[#This Row],[Shelter Upgrade/Repair]]+Table1423569481011121314235679[[#This Row],[Shelter and housing options]]</f>
        <v>111978</v>
      </c>
      <c r="G21" s="9">
        <f>SUBTOTAL(109,G3:G20)</f>
        <v>188922</v>
      </c>
      <c r="H21" s="9">
        <f>SUBTOTAL(109,H3:H20)</f>
        <v>80106</v>
      </c>
      <c r="I21" s="9">
        <f t="shared" ref="I21:L21" si="0">SUBTOTAL(109,I3:I20)</f>
        <v>61614</v>
      </c>
      <c r="J21" s="9">
        <f t="shared" si="0"/>
        <v>26472</v>
      </c>
      <c r="K21" s="9">
        <f t="shared" si="0"/>
        <v>0</v>
      </c>
      <c r="L21" s="9">
        <f t="shared" si="0"/>
        <v>5400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L22" si="1">D21/6</f>
        <v>387723.49999999994</v>
      </c>
      <c r="E22" s="11">
        <f t="shared" si="1"/>
        <v>41756</v>
      </c>
      <c r="F22" s="11">
        <f>Table1423569481011121314235679[[#This Row],[Emergency Shelter]]+Table1423569481011121314235679[[#This Row],[Shelter Upgrade/Repair]]+Table1423569481011121314235679[[#This Row],[Shelter and housing options]]</f>
        <v>18663</v>
      </c>
      <c r="G22" s="11">
        <f t="shared" si="1"/>
        <v>31487</v>
      </c>
      <c r="H22" s="11">
        <f t="shared" si="1"/>
        <v>13351</v>
      </c>
      <c r="I22" s="11">
        <f t="shared" si="1"/>
        <v>10269</v>
      </c>
      <c r="J22" s="11">
        <f t="shared" si="1"/>
        <v>4412</v>
      </c>
      <c r="K22" s="11">
        <f t="shared" si="1"/>
        <v>0</v>
      </c>
      <c r="L22" s="11">
        <f t="shared" si="1"/>
        <v>900</v>
      </c>
    </row>
    <row r="23" spans="1:12" x14ac:dyDescent="0.25">
      <c r="A23" s="108"/>
      <c r="B23" s="109"/>
      <c r="C23" s="110"/>
      <c r="D23" s="110"/>
      <c r="E23" s="111">
        <f>E21/D21</f>
        <v>0.10769530348302336</v>
      </c>
      <c r="F23" s="111">
        <f>F21/D21</f>
        <v>4.8134817724486662E-2</v>
      </c>
      <c r="G23" s="112"/>
      <c r="H23" s="110"/>
      <c r="I23" s="112"/>
      <c r="J23" s="110"/>
      <c r="K23" s="112"/>
      <c r="L23" s="11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2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2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3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4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4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4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4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4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4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4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4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4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4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4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4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4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4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4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4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4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5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6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M1" sqref="M1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3" width="32.5703125" style="3"/>
    <col min="14" max="17" width="15.85546875" style="3" customWidth="1"/>
    <col min="18" max="16384" width="32.5703125" style="3"/>
  </cols>
  <sheetData>
    <row r="1" spans="1:17" ht="31.5" customHeight="1" x14ac:dyDescent="0.25">
      <c r="A1" s="106" t="s">
        <v>136</v>
      </c>
      <c r="B1" s="93"/>
      <c r="C1" s="93"/>
      <c r="D1" s="93"/>
      <c r="E1" s="157" t="s">
        <v>124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7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147</v>
      </c>
      <c r="F2" s="92" t="s">
        <v>148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7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Table14235694[[#This Row],[Emergency NFI]]+Table14235694[[#This Row],[NFI Replenishment ]]+Table14235694[[#This Row],[NFI3]]</f>
        <v>129534</v>
      </c>
      <c r="F3" s="91">
        <f>Table14235694[[#This Row],[Emergency Shelter]]+Table14235694[[#This Row],[Shelter Upgrade/Repair]]+Table14235694[[#This Row],[Shelter and housing options]]</f>
        <v>44058</v>
      </c>
      <c r="G3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129534</v>
      </c>
      <c r="H3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21882</v>
      </c>
      <c r="I3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3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22020</v>
      </c>
      <c r="K3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3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156</v>
      </c>
    </row>
    <row r="4" spans="1:17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Table14235694[[#This Row],[Emergency NFI]]+Table14235694[[#This Row],[NFI Replenishment ]]+Table14235694[[#This Row],[NFI3]]</f>
        <v>0</v>
      </c>
      <c r="F4" s="5">
        <f>Table14235694[[#This Row],[Emergency Shelter]]+Table14235694[[#This Row],[Shelter Upgrade/Repair]]+Table14235694[[#This Row],[Shelter and housing options]]</f>
        <v>210</v>
      </c>
      <c r="G4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0</v>
      </c>
      <c r="H4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0</v>
      </c>
      <c r="I4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4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0</v>
      </c>
      <c r="K4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4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210</v>
      </c>
    </row>
    <row r="5" spans="1:17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Table14235694[[#This Row],[Emergency NFI]]+Table14235694[[#This Row],[NFI Replenishment ]]+Table14235694[[#This Row],[NFI3]]</f>
        <v>7260</v>
      </c>
      <c r="F5" s="5">
        <f>Table14235694[[#This Row],[Emergency Shelter]]+Table14235694[[#This Row],[Shelter Upgrade/Repair]]+Table14235694[[#This Row],[Shelter and housing options]]</f>
        <v>7482</v>
      </c>
      <c r="G5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7260</v>
      </c>
      <c r="H5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726</v>
      </c>
      <c r="I5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5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3288</v>
      </c>
      <c r="K5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5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3468</v>
      </c>
      <c r="N5" s="161" t="s">
        <v>151</v>
      </c>
      <c r="O5" s="161"/>
      <c r="P5" s="161"/>
      <c r="Q5" s="161"/>
    </row>
    <row r="6" spans="1:17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Table14235694[[#This Row],[Emergency NFI]]+Table14235694[[#This Row],[NFI Replenishment ]]+Table14235694[[#This Row],[NFI3]]</f>
        <v>1470</v>
      </c>
      <c r="F6" s="5">
        <f>Table14235694[[#This Row],[Emergency Shelter]]+Table14235694[[#This Row],[Shelter Upgrade/Repair]]+Table14235694[[#This Row],[Shelter and housing options]]</f>
        <v>0</v>
      </c>
      <c r="G6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1470</v>
      </c>
      <c r="H6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0</v>
      </c>
      <c r="I6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6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0</v>
      </c>
      <c r="K6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6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0</v>
      </c>
    </row>
    <row r="7" spans="1:17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Table14235694[[#This Row],[Emergency NFI]]+Table14235694[[#This Row],[NFI Replenishment ]]+Table14235694[[#This Row],[NFI3]]</f>
        <v>11058</v>
      </c>
      <c r="F7" s="5">
        <f>Table14235694[[#This Row],[Emergency Shelter]]+Table14235694[[#This Row],[Shelter Upgrade/Repair]]+Table14235694[[#This Row],[Shelter and housing options]]</f>
        <v>70386</v>
      </c>
      <c r="G7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11058</v>
      </c>
      <c r="H7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6366</v>
      </c>
      <c r="I7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7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64020</v>
      </c>
      <c r="K7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7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0</v>
      </c>
      <c r="N7" s="162" t="s">
        <v>149</v>
      </c>
      <c r="O7" s="163"/>
      <c r="P7" s="159" t="s">
        <v>150</v>
      </c>
      <c r="Q7" s="160"/>
    </row>
    <row r="8" spans="1:17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Table14235694[[#This Row],[Emergency NFI]]+Table14235694[[#This Row],[NFI Replenishment ]]+Table14235694[[#This Row],[NFI3]]</f>
        <v>15882</v>
      </c>
      <c r="F8" s="5">
        <f>Table14235694[[#This Row],[Emergency Shelter]]+Table14235694[[#This Row],[Shelter Upgrade/Repair]]+Table14235694[[#This Row],[Shelter and housing options]]</f>
        <v>10008</v>
      </c>
      <c r="G8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15882</v>
      </c>
      <c r="H8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3324</v>
      </c>
      <c r="I8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8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6384</v>
      </c>
      <c r="K8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8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300</v>
      </c>
      <c r="N8" s="140" t="s">
        <v>119</v>
      </c>
      <c r="O8" s="144" t="s">
        <v>120</v>
      </c>
      <c r="P8" s="141" t="s">
        <v>119</v>
      </c>
      <c r="Q8" s="144" t="s">
        <v>120</v>
      </c>
    </row>
    <row r="9" spans="1:17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Table14235694[[#This Row],[Emergency NFI]]+Table14235694[[#This Row],[NFI Replenishment ]]+Table14235694[[#This Row],[NFI3]]</f>
        <v>243750</v>
      </c>
      <c r="F9" s="5">
        <f>Table14235694[[#This Row],[Emergency Shelter]]+Table14235694[[#This Row],[Shelter Upgrade/Repair]]+Table14235694[[#This Row],[Shelter and housing options]]</f>
        <v>132354</v>
      </c>
      <c r="G9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133026</v>
      </c>
      <c r="H9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124416</v>
      </c>
      <c r="I9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110724</v>
      </c>
      <c r="J9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6840</v>
      </c>
      <c r="K9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9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1098</v>
      </c>
      <c r="M9" s="138" t="s">
        <v>38</v>
      </c>
      <c r="N9" s="147">
        <v>160027</v>
      </c>
      <c r="O9" s="147">
        <v>74167</v>
      </c>
      <c r="P9" s="148">
        <v>158388</v>
      </c>
      <c r="Q9" s="147">
        <v>103276</v>
      </c>
    </row>
    <row r="10" spans="1:17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Table14235694[[#This Row],[Emergency NFI]]+Table14235694[[#This Row],[NFI Replenishment ]]+Table14235694[[#This Row],[NFI3]]</f>
        <v>0</v>
      </c>
      <c r="F10" s="5">
        <f>Table14235694[[#This Row],[Emergency Shelter]]+Table14235694[[#This Row],[Shelter Upgrade/Repair]]+Table14235694[[#This Row],[Shelter and housing options]]</f>
        <v>204</v>
      </c>
      <c r="G10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0</v>
      </c>
      <c r="H10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0</v>
      </c>
      <c r="I10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10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0</v>
      </c>
      <c r="K10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10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204</v>
      </c>
      <c r="M10" s="138" t="s">
        <v>37</v>
      </c>
      <c r="N10" s="147">
        <v>18191</v>
      </c>
      <c r="O10" s="147">
        <v>40756</v>
      </c>
      <c r="P10" s="148">
        <v>774</v>
      </c>
      <c r="Q10" s="147">
        <v>23316</v>
      </c>
    </row>
    <row r="11" spans="1:17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Table14235694[[#This Row],[Emergency NFI]]+Table14235694[[#This Row],[NFI Replenishment ]]+Table14235694[[#This Row],[NFI3]]</f>
        <v>128880</v>
      </c>
      <c r="F11" s="5">
        <f>Table14235694[[#This Row],[Emergency Shelter]]+Table14235694[[#This Row],[Shelter Upgrade/Repair]]+Table14235694[[#This Row],[Shelter and housing options]]</f>
        <v>145590</v>
      </c>
      <c r="G11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127134</v>
      </c>
      <c r="H11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89688</v>
      </c>
      <c r="I11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1746</v>
      </c>
      <c r="J11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55788</v>
      </c>
      <c r="K11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11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114</v>
      </c>
      <c r="M11" s="138" t="s">
        <v>36</v>
      </c>
      <c r="N11" s="147">
        <v>0</v>
      </c>
      <c r="O11" s="147">
        <v>2183</v>
      </c>
      <c r="P11" s="148">
        <v>0</v>
      </c>
      <c r="Q11" s="147">
        <v>254</v>
      </c>
    </row>
    <row r="12" spans="1:17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Table14235694[[#This Row],[Emergency NFI]]+Table14235694[[#This Row],[NFI Replenishment ]]+Table14235694[[#This Row],[NFI3]]</f>
        <v>36</v>
      </c>
      <c r="F12" s="5">
        <f>Table14235694[[#This Row],[Emergency Shelter]]+Table14235694[[#This Row],[Shelter Upgrade/Repair]]+Table14235694[[#This Row],[Shelter and housing options]]</f>
        <v>0</v>
      </c>
      <c r="G12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36</v>
      </c>
      <c r="H12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0</v>
      </c>
      <c r="I12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12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0</v>
      </c>
      <c r="K12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12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0</v>
      </c>
      <c r="N12" s="149">
        <f>SUM(N9:N11)</f>
        <v>178218</v>
      </c>
      <c r="O12" s="149">
        <f>SUM(O9:O11)</f>
        <v>117106</v>
      </c>
      <c r="P12" s="150">
        <f>SUM(P9:P11)</f>
        <v>159162</v>
      </c>
      <c r="Q12" s="149">
        <f>SUM(Q9:Q11)</f>
        <v>126846</v>
      </c>
    </row>
    <row r="13" spans="1:17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Table14235694[[#This Row],[Emergency NFI]]+Table14235694[[#This Row],[NFI Replenishment ]]+Table14235694[[#This Row],[NFI3]]</f>
        <v>462</v>
      </c>
      <c r="F13" s="5">
        <f>Table14235694[[#This Row],[Emergency Shelter]]+Table14235694[[#This Row],[Shelter Upgrade/Repair]]+Table14235694[[#This Row],[Shelter and housing options]]</f>
        <v>0</v>
      </c>
      <c r="G13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462</v>
      </c>
      <c r="H13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0</v>
      </c>
      <c r="I13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13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0</v>
      </c>
      <c r="K13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13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0</v>
      </c>
      <c r="N13" s="142">
        <f>N12/E22</f>
        <v>0.52824115240974567</v>
      </c>
      <c r="O13" s="145">
        <f>O12/F22</f>
        <v>0.48003705647012529</v>
      </c>
      <c r="P13" s="143">
        <f>P12/E22</f>
        <v>0.47175884759025433</v>
      </c>
      <c r="Q13" s="145">
        <f>Q12/F22</f>
        <v>0.51996294352987471</v>
      </c>
    </row>
    <row r="14" spans="1:17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Table14235694[[#This Row],[Emergency NFI]]+Table14235694[[#This Row],[NFI Replenishment ]]+Table14235694[[#This Row],[NFI3]]</f>
        <v>0</v>
      </c>
      <c r="F14" s="5">
        <f>Table14235694[[#This Row],[Emergency Shelter]]+Table14235694[[#This Row],[Shelter Upgrade/Repair]]+Table14235694[[#This Row],[Shelter and housing options]]</f>
        <v>240</v>
      </c>
      <c r="G14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0</v>
      </c>
      <c r="H14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0</v>
      </c>
      <c r="I14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14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0</v>
      </c>
      <c r="K14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14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240</v>
      </c>
      <c r="N14" s="139"/>
      <c r="O14" s="146"/>
      <c r="P14" s="146"/>
      <c r="Q14" s="139"/>
    </row>
    <row r="15" spans="1:17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Table14235694[[#This Row],[Emergency NFI]]+Table14235694[[#This Row],[NFI Replenishment ]]+Table14235694[[#This Row],[NFI3]]</f>
        <v>1326168</v>
      </c>
      <c r="F15" s="5">
        <f>Table14235694[[#This Row],[Emergency Shelter]]+Table14235694[[#This Row],[Shelter Upgrade/Repair]]+Table14235694[[#This Row],[Shelter and housing options]]</f>
        <v>919620</v>
      </c>
      <c r="G15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1324848</v>
      </c>
      <c r="H15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743208</v>
      </c>
      <c r="I15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1320</v>
      </c>
      <c r="J15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172344</v>
      </c>
      <c r="K15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15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4068</v>
      </c>
      <c r="N15" s="139"/>
      <c r="O15" s="146"/>
      <c r="P15" s="146"/>
      <c r="Q15" s="139"/>
    </row>
    <row r="16" spans="1:17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Table14235694[[#This Row],[Emergency NFI]]+Table14235694[[#This Row],[NFI Replenishment ]]+Table14235694[[#This Row],[NFI3]]</f>
        <v>1200</v>
      </c>
      <c r="F16" s="5">
        <f>Table14235694[[#This Row],[Emergency Shelter]]+Table14235694[[#This Row],[Shelter Upgrade/Repair]]+Table14235694[[#This Row],[Shelter and housing options]]</f>
        <v>0</v>
      </c>
      <c r="G16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1200</v>
      </c>
      <c r="H16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0</v>
      </c>
      <c r="I16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16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0</v>
      </c>
      <c r="K16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16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Table14235694[[#This Row],[Emergency NFI]]+Table14235694[[#This Row],[NFI Replenishment ]]+Table14235694[[#This Row],[NFI3]]</f>
        <v>141894</v>
      </c>
      <c r="F17" s="5">
        <f>Table14235694[[#This Row],[Emergency Shelter]]+Table14235694[[#This Row],[Shelter Upgrade/Repair]]+Table14235694[[#This Row],[Shelter and housing options]]</f>
        <v>100236</v>
      </c>
      <c r="G17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141894</v>
      </c>
      <c r="H17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60342</v>
      </c>
      <c r="I17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17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35130</v>
      </c>
      <c r="K17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17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4764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Table14235694[[#This Row],[Emergency NFI]]+Table14235694[[#This Row],[NFI Replenishment ]]+Table14235694[[#This Row],[NFI3]]</f>
        <v>15618</v>
      </c>
      <c r="F18" s="5">
        <f>Table14235694[[#This Row],[Emergency Shelter]]+Table14235694[[#This Row],[Shelter Upgrade/Repair]]+Table14235694[[#This Row],[Shelter and housing options]]</f>
        <v>33324</v>
      </c>
      <c r="G18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15618</v>
      </c>
      <c r="H18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14706</v>
      </c>
      <c r="I18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18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18618</v>
      </c>
      <c r="K18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18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Table14235694[[#This Row],[Emergency NFI]]+Table14235694[[#This Row],[NFI Replenishment ]]+Table14235694[[#This Row],[NFI3]]</f>
        <v>1068</v>
      </c>
      <c r="F19" s="5">
        <f>Table14235694[[#This Row],[Emergency Shelter]]+Table14235694[[#This Row],[Shelter Upgrade/Repair]]+Table14235694[[#This Row],[Shelter and housing options]]</f>
        <v>0</v>
      </c>
      <c r="G19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1068</v>
      </c>
      <c r="H19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0</v>
      </c>
      <c r="I19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19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0</v>
      </c>
      <c r="K19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19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Table14235694[[#This Row],[Emergency NFI]]+Table14235694[[#This Row],[NFI Replenishment ]]+Table14235694[[#This Row],[NFI3]]</f>
        <v>0</v>
      </c>
      <c r="F20" s="5">
        <f>Table14235694[[#This Row],[Emergency Shelter]]+Table14235694[[#This Row],[Shelter Upgrade/Repair]]+Table14235694[[#This Row],[Shelter and housing options]]</f>
        <v>0</v>
      </c>
      <c r="G20" s="91">
        <f>Table142356948[[#This Row],[Emergency NFI]]+Table14235694810[[#This Row],[Emergency NFI]]+Table1423569481011[[#This Row],[Emergency NFI]]+Table142356948101112[[#This Row],[Emergency NFI]]+Table14235694810111213[[#This Row],[Emergency NFI]]+Table1423569481011121314[[#This Row],[Emergency NFI]]+Table14235694810111213142[[#This Row],[Emergency NFI]]+Table142356948101112131423[[#This Row],[Emergency NFI]]+Table1423569481011121314235[[#This Row],[Emergency NFI]]+Table14235694810111213142356[[#This Row],[Emergency NFI]]+Table142356948101112131423567[[#This Row],[Emergency NFI]]+Table1423569481011121314235679[[#This Row],[Emergency NFI]]</f>
        <v>0</v>
      </c>
      <c r="H20" s="91">
        <f>Table142356948[[#This Row],[Emergency Shelter]]+Table14235694810[[#This Row],[Emergency Shelter]]+Table1423569481011[[#This Row],[Emergency Shelter]]+Table142356948101112[[#This Row],[Emergency Shelter]]+Table14235694810111213[[#This Row],[Emergency Shelter]]+Table1423569481011121314[[#This Row],[Emergency Shelter]]+Table14235694810111213142[[#This Row],[Emergency Shelter]]+Table142356948101112131423[[#This Row],[Emergency Shelter]]+Table1423569481011121314235[[#This Row],[Emergency Shelter]]+Table14235694810111213142356[[#This Row],[Emergency Shelter]]+Table142356948101112131423567[[#This Row],[Emergency Shelter]]+Table1423569481011121314235679[[#This Row],[Emergency Shelter]]</f>
        <v>0</v>
      </c>
      <c r="I20" s="91">
        <f>Table142356948[[#This Row],[NFI Replenishment ]]+Table14235694810[[#This Row],[NFI Replenishment ]]+Table1423569481011[[#This Row],[NFI Replenishment ]]+Table142356948101112[[#This Row],[NFI Replenishment ]]+Table14235694810111213[[#This Row],[NFI Replenishment ]]+Table1423569481011121314[[#This Row],[NFI Replenishment ]]+Table14235694810111213142[[#This Row],[NFI Replenishment ]]+Table142356948101112131423[[#This Row],[NFI Replenishment ]]+Table1423569481011121314235[[#This Row],[NFI Replenishment ]]+Table14235694810111213142356[[#This Row],[NFI Replenishment ]]+Table142356948101112131423567[[#This Row],[NFI Replenishment ]]+Table1423569481011121314235679[[#This Row],[NFI Replenishment ]]</f>
        <v>0</v>
      </c>
      <c r="J20" s="91">
        <f>Table142356948[[#This Row],[Shelter Upgrade/Repair]]+Table14235694810[[#This Row],[Shelter Upgrade/Repair]]+Table1423569481011[[#This Row],[Shelter Upgrade/Repair]]+Table142356948101112[[#This Row],[Shelter Upgrade/Repair]]+Table14235694810111213[[#This Row],[Shelter Upgrade/Repair]]+Table1423569481011121314[[#This Row],[Shelter Upgrade/Repair]]+Table14235694810111213142[[#This Row],[Shelter Upgrade/Repair]]+Table142356948101112131423[[#This Row],[Shelter Upgrade/Repair]]+Table1423569481011121314235[[#This Row],[Shelter Upgrade/Repair]]+Table14235694810111213142356[[#This Row],[Shelter Upgrade/Repair]]+Table142356948101112131423567[[#This Row],[Shelter Upgrade/Repair]]+Table1423569481011121314235679[[#This Row],[Shelter Upgrade/Repair]]</f>
        <v>0</v>
      </c>
      <c r="K20" s="91">
        <f>Table142356948[[#This Row],[NFI3]]+Table14235694810[[#This Row],[NFI3]]+Table1423569481011[[#This Row],[NFI3]]+Table142356948101112[[#This Row],[NFI3]]+Table14235694810111213[[#This Row],[NFI3]]+Table1423569481011121314[[#This Row],[NFI3]]+Table14235694810111213142[[#This Row],[NFI3]]+Table142356948101112131423[[#This Row],[NFI3]]+Table1423569481011121314235[[#This Row],[NFI3]]+Table14235694810111213142356[[#This Row],[NFI3]]+Table142356948101112131423567[[#This Row],[NFI3]]+Table1423569481011121314235679[[#This Row],[NFI3]]</f>
        <v>0</v>
      </c>
      <c r="L20" s="91">
        <f>Table142356948[[#This Row],[Shelter and housing options]]+Table14235694810[[#This Row],[Shelter and housing options]]+Table1423569481011[[#This Row],[Shelter and housing options]]+Table142356948101112[[#This Row],[Shelter and housing options]]+Table14235694810111213[[#This Row],[Shelter and housing options]]+Table1423569481011121314[[#This Row],[Shelter and housing options]]+Table14235694810111213142[[#This Row],[Shelter and housing options]]+Table142356948101112131423[[#This Row],[Shelter and housing options]]+Table1423569481011121314235[[#This Row],[Shelter and housing options]]+Table14235694810111213142356[[#This Row],[Shelter and housing options]]+Table142356948101112131423567[[#This Row],[Shelter and housing options]]+Table1423569481011121314235679[[#This Row],[Shelter and housing options]]</f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2024280</v>
      </c>
      <c r="F21" s="9">
        <f>Table14235694[[#This Row],[Emergency Shelter]]+Table14235694[[#This Row],[Shelter Upgrade/Repair]]+Table14235694[[#This Row],[Shelter and housing options]]</f>
        <v>1463712</v>
      </c>
      <c r="G21" s="9">
        <f>SUBTOTAL(109,G3:G20)</f>
        <v>1910490</v>
      </c>
      <c r="H21" s="9">
        <f>SUBTOTAL(109,H3:H20)</f>
        <v>1064658</v>
      </c>
      <c r="I21" s="9">
        <f t="shared" ref="I21:K21" si="0">SUBTOTAL(109,I3:I20)</f>
        <v>113790</v>
      </c>
      <c r="J21" s="9">
        <f t="shared" ref="J21" si="1">SUBTOTAL(109,J3:J20)</f>
        <v>384432</v>
      </c>
      <c r="K21" s="9">
        <f t="shared" si="0"/>
        <v>0</v>
      </c>
      <c r="L21" s="9">
        <f t="shared" ref="L21" si="2">SUBTOTAL(109,L3:L20)</f>
        <v>14622</v>
      </c>
    </row>
    <row r="22" spans="1:12" x14ac:dyDescent="0.25">
      <c r="A22" s="97" t="s">
        <v>44</v>
      </c>
      <c r="B22" s="97"/>
      <c r="C22" s="98">
        <f>C21/6</f>
        <v>647166.66666666663</v>
      </c>
      <c r="D22" s="98">
        <f t="shared" ref="D22:K22" si="3">D21/6</f>
        <v>387723.49999999994</v>
      </c>
      <c r="E22" s="98">
        <f t="shared" si="3"/>
        <v>337380</v>
      </c>
      <c r="F22" s="98">
        <f>Table14235694[[#This Row],[Emergency Shelter]]+Table14235694[[#This Row],[Shelter Upgrade/Repair]]+Table14235694[[#This Row],[Shelter and housing options]]</f>
        <v>243952</v>
      </c>
      <c r="G22" s="98">
        <f t="shared" si="3"/>
        <v>318415</v>
      </c>
      <c r="H22" s="98">
        <f t="shared" ref="H22" si="4">H21/6</f>
        <v>177443</v>
      </c>
      <c r="I22" s="98">
        <f t="shared" si="3"/>
        <v>18965</v>
      </c>
      <c r="J22" s="98">
        <f t="shared" ref="J22" si="5">J21/6</f>
        <v>64072</v>
      </c>
      <c r="K22" s="98">
        <f t="shared" si="3"/>
        <v>0</v>
      </c>
      <c r="L22" s="98">
        <f t="shared" ref="L22" si="6">L21/6</f>
        <v>2437</v>
      </c>
    </row>
    <row r="23" spans="1:12" x14ac:dyDescent="0.25">
      <c r="A23" s="108"/>
      <c r="B23" s="109"/>
      <c r="C23" s="110"/>
      <c r="D23" s="110"/>
      <c r="E23" s="111">
        <f>E21/D21</f>
        <v>0.87015618088663715</v>
      </c>
      <c r="F23" s="111">
        <f>F21/D21</f>
        <v>0.6291906474588207</v>
      </c>
      <c r="G23" s="112"/>
      <c r="H23" s="110"/>
      <c r="I23" s="112"/>
      <c r="J23" s="110"/>
      <c r="K23" s="112"/>
      <c r="L23" s="11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7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7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8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9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9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9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9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9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9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9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9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9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9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9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9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9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9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9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9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9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10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11">D59/6</f>
        <v>108143</v>
      </c>
    </row>
  </sheetData>
  <mergeCells count="7">
    <mergeCell ref="E1:F1"/>
    <mergeCell ref="N7:O7"/>
    <mergeCell ref="P7:Q7"/>
    <mergeCell ref="N5:Q5"/>
    <mergeCell ref="G1:H1"/>
    <mergeCell ref="I1:J1"/>
    <mergeCell ref="K1:L1"/>
  </mergeCells>
  <printOptions horizontalCentered="1"/>
  <pageMargins left="0.25" right="0.25" top="0.25" bottom="0.25" header="0.3" footer="0.3"/>
  <pageSetup paperSize="9" scale="64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1"/>
  <sheetViews>
    <sheetView showGridLines="0" zoomScale="80" zoomScaleNormal="80" workbookViewId="0">
      <selection activeCell="L1" sqref="L1"/>
    </sheetView>
  </sheetViews>
  <sheetFormatPr defaultRowHeight="15" x14ac:dyDescent="0.25"/>
  <cols>
    <col min="1" max="1" width="47.85546875" style="4" customWidth="1"/>
    <col min="2" max="2" width="51.7109375" style="4" customWidth="1"/>
    <col min="3" max="3" width="32.7109375" style="4" bestFit="1" customWidth="1"/>
    <col min="4" max="5" width="17.85546875" style="4" bestFit="1" customWidth="1"/>
    <col min="6" max="6" width="9.85546875" style="4" bestFit="1" customWidth="1"/>
    <col min="7" max="7" width="5.7109375" style="4" bestFit="1" customWidth="1"/>
    <col min="8" max="8" width="7.85546875" style="4" bestFit="1" customWidth="1"/>
    <col min="9" max="9" width="8.140625" style="4" bestFit="1" customWidth="1"/>
    <col min="10" max="10" width="10.85546875" style="4" bestFit="1" customWidth="1"/>
    <col min="11" max="11" width="13.42578125" style="4" customWidth="1"/>
    <col min="12" max="16384" width="9.140625" style="4"/>
  </cols>
  <sheetData>
    <row r="1" spans="1:11" x14ac:dyDescent="0.25">
      <c r="A1" s="80" t="s">
        <v>114</v>
      </c>
      <c r="J1" s="85" t="s">
        <v>118</v>
      </c>
      <c r="K1" s="86">
        <v>42886</v>
      </c>
    </row>
    <row r="2" spans="1:11" x14ac:dyDescent="0.25">
      <c r="A2" t="s">
        <v>115</v>
      </c>
    </row>
    <row r="4" spans="1:11" ht="15" customHeight="1" x14ac:dyDescent="0.25">
      <c r="A4" s="77" t="s">
        <v>69</v>
      </c>
      <c r="B4" s="186" t="s">
        <v>70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1:11" x14ac:dyDescent="0.25">
      <c r="A5" s="77" t="s">
        <v>71</v>
      </c>
      <c r="B5" s="78" t="s">
        <v>72</v>
      </c>
      <c r="C5" s="78"/>
      <c r="D5" s="82"/>
      <c r="E5" s="83"/>
      <c r="F5" s="83"/>
      <c r="G5" s="83"/>
      <c r="H5" s="84"/>
      <c r="I5" s="181" t="s">
        <v>81</v>
      </c>
      <c r="J5" s="182"/>
      <c r="K5" s="183"/>
    </row>
    <row r="6" spans="1:11" ht="15" customHeight="1" x14ac:dyDescent="0.25">
      <c r="A6" s="164" t="s">
        <v>73</v>
      </c>
      <c r="B6" s="165" t="s">
        <v>74</v>
      </c>
      <c r="C6" s="164" t="s">
        <v>75</v>
      </c>
      <c r="D6" s="164" t="s">
        <v>76</v>
      </c>
      <c r="E6" s="79" t="s">
        <v>77</v>
      </c>
      <c r="F6" s="165" t="s">
        <v>39</v>
      </c>
      <c r="G6" s="165" t="s">
        <v>79</v>
      </c>
      <c r="H6" s="165" t="s">
        <v>80</v>
      </c>
      <c r="I6" s="176" t="s">
        <v>116</v>
      </c>
      <c r="J6" s="179" t="s">
        <v>117</v>
      </c>
      <c r="K6" s="184" t="s">
        <v>134</v>
      </c>
    </row>
    <row r="7" spans="1:11" x14ac:dyDescent="0.25">
      <c r="A7" s="164"/>
      <c r="B7" s="165"/>
      <c r="C7" s="164"/>
      <c r="D7" s="164"/>
      <c r="E7" s="79" t="s">
        <v>78</v>
      </c>
      <c r="F7" s="165"/>
      <c r="G7" s="165"/>
      <c r="H7" s="165"/>
      <c r="I7" s="176"/>
      <c r="J7" s="179"/>
      <c r="K7" s="185"/>
    </row>
    <row r="8" spans="1:11" x14ac:dyDescent="0.25">
      <c r="A8" s="171" t="s">
        <v>82</v>
      </c>
      <c r="B8" s="171" t="s">
        <v>83</v>
      </c>
      <c r="C8" s="172" t="s">
        <v>84</v>
      </c>
      <c r="D8" s="173" t="s">
        <v>85</v>
      </c>
      <c r="E8" s="174" t="s">
        <v>86</v>
      </c>
      <c r="F8" s="175">
        <v>344258</v>
      </c>
      <c r="G8" s="170">
        <v>0.45</v>
      </c>
      <c r="H8" s="170">
        <v>0.55000000000000004</v>
      </c>
      <c r="I8" s="189">
        <v>61875</v>
      </c>
      <c r="J8" s="191">
        <f>I8*6</f>
        <v>371250</v>
      </c>
      <c r="K8" s="193">
        <f>J8/F8</f>
        <v>1.0784063115454108</v>
      </c>
    </row>
    <row r="9" spans="1:11" x14ac:dyDescent="0.25">
      <c r="A9" s="171"/>
      <c r="B9" s="171"/>
      <c r="C9" s="172"/>
      <c r="D9" s="173"/>
      <c r="E9" s="174"/>
      <c r="F9" s="175"/>
      <c r="G9" s="170"/>
      <c r="H9" s="170"/>
      <c r="I9" s="190"/>
      <c r="J9" s="192"/>
      <c r="K9" s="194"/>
    </row>
    <row r="10" spans="1:11" x14ac:dyDescent="0.25">
      <c r="A10" s="171" t="s">
        <v>87</v>
      </c>
      <c r="B10" s="171" t="s">
        <v>88</v>
      </c>
      <c r="C10" s="172" t="s">
        <v>89</v>
      </c>
      <c r="D10" s="173" t="s">
        <v>85</v>
      </c>
      <c r="E10" s="174" t="s">
        <v>90</v>
      </c>
      <c r="F10" s="175">
        <v>1190204</v>
      </c>
      <c r="G10" s="170">
        <v>0.45</v>
      </c>
      <c r="H10" s="170">
        <v>0.55000000000000004</v>
      </c>
      <c r="I10" s="189">
        <v>173417</v>
      </c>
      <c r="J10" s="191">
        <f>I10*6</f>
        <v>1040502</v>
      </c>
      <c r="K10" s="193">
        <f>J10/F10</f>
        <v>0.87422156201793977</v>
      </c>
    </row>
    <row r="11" spans="1:11" x14ac:dyDescent="0.25">
      <c r="A11" s="171"/>
      <c r="B11" s="171"/>
      <c r="C11" s="172"/>
      <c r="D11" s="173"/>
      <c r="E11" s="174"/>
      <c r="F11" s="175"/>
      <c r="G11" s="170"/>
      <c r="H11" s="170"/>
      <c r="I11" s="190"/>
      <c r="J11" s="192"/>
      <c r="K11" s="194"/>
    </row>
    <row r="12" spans="1:11" x14ac:dyDescent="0.25">
      <c r="J12" s="81"/>
    </row>
    <row r="13" spans="1:11" ht="15" customHeight="1" x14ac:dyDescent="0.25">
      <c r="A13" s="77" t="s">
        <v>91</v>
      </c>
      <c r="B13" s="186" t="s">
        <v>92</v>
      </c>
      <c r="C13" s="187"/>
      <c r="D13" s="187"/>
      <c r="E13" s="187"/>
      <c r="F13" s="187"/>
      <c r="G13" s="187"/>
      <c r="H13" s="187"/>
      <c r="I13" s="187"/>
      <c r="J13" s="187"/>
      <c r="K13" s="188"/>
    </row>
    <row r="14" spans="1:11" x14ac:dyDescent="0.25">
      <c r="A14" s="77" t="s">
        <v>71</v>
      </c>
      <c r="B14" s="78" t="s">
        <v>93</v>
      </c>
      <c r="C14" s="78"/>
      <c r="D14" s="180"/>
      <c r="E14" s="180"/>
      <c r="F14" s="180"/>
      <c r="G14" s="180"/>
      <c r="H14" s="180"/>
      <c r="I14" s="181" t="s">
        <v>81</v>
      </c>
      <c r="J14" s="182"/>
      <c r="K14" s="183"/>
    </row>
    <row r="15" spans="1:11" ht="15" customHeight="1" x14ac:dyDescent="0.25">
      <c r="A15" s="164" t="s">
        <v>73</v>
      </c>
      <c r="B15" s="165" t="s">
        <v>74</v>
      </c>
      <c r="C15" s="164" t="s">
        <v>75</v>
      </c>
      <c r="D15" s="166" t="s">
        <v>76</v>
      </c>
      <c r="E15" s="79" t="s">
        <v>77</v>
      </c>
      <c r="F15" s="168" t="s">
        <v>39</v>
      </c>
      <c r="G15" s="168" t="s">
        <v>79</v>
      </c>
      <c r="H15" s="168" t="s">
        <v>80</v>
      </c>
      <c r="I15" s="176" t="s">
        <v>116</v>
      </c>
      <c r="J15" s="179" t="s">
        <v>117</v>
      </c>
      <c r="K15" s="184" t="s">
        <v>134</v>
      </c>
    </row>
    <row r="16" spans="1:11" x14ac:dyDescent="0.25">
      <c r="A16" s="164"/>
      <c r="B16" s="165"/>
      <c r="C16" s="164"/>
      <c r="D16" s="167"/>
      <c r="E16" s="79" t="s">
        <v>78</v>
      </c>
      <c r="F16" s="169"/>
      <c r="G16" s="169"/>
      <c r="H16" s="169"/>
      <c r="I16" s="176"/>
      <c r="J16" s="179"/>
      <c r="K16" s="185"/>
    </row>
    <row r="17" spans="1:11" x14ac:dyDescent="0.25">
      <c r="A17" s="171" t="s">
        <v>94</v>
      </c>
      <c r="B17" s="171" t="s">
        <v>95</v>
      </c>
      <c r="C17" s="172" t="s">
        <v>96</v>
      </c>
      <c r="D17" s="173" t="s">
        <v>85</v>
      </c>
      <c r="E17" s="174" t="s">
        <v>97</v>
      </c>
      <c r="F17" s="175">
        <v>256530</v>
      </c>
      <c r="G17" s="170">
        <v>0.45</v>
      </c>
      <c r="H17" s="170">
        <v>0.55000000000000004</v>
      </c>
      <c r="I17" s="191">
        <v>28</v>
      </c>
      <c r="J17" s="191">
        <f>I17*6</f>
        <v>168</v>
      </c>
      <c r="K17" s="195">
        <f>J17/F17</f>
        <v>6.548941644252134E-4</v>
      </c>
    </row>
    <row r="18" spans="1:11" x14ac:dyDescent="0.25">
      <c r="A18" s="171"/>
      <c r="B18" s="171"/>
      <c r="C18" s="172"/>
      <c r="D18" s="173"/>
      <c r="E18" s="174"/>
      <c r="F18" s="175"/>
      <c r="G18" s="170"/>
      <c r="H18" s="170"/>
      <c r="I18" s="192"/>
      <c r="J18" s="192"/>
      <c r="K18" s="196"/>
    </row>
    <row r="19" spans="1:11" x14ac:dyDescent="0.25">
      <c r="A19" s="171" t="s">
        <v>98</v>
      </c>
      <c r="B19" s="171" t="s">
        <v>99</v>
      </c>
      <c r="C19" s="172" t="s">
        <v>96</v>
      </c>
      <c r="D19" s="173" t="s">
        <v>85</v>
      </c>
      <c r="E19" s="174" t="s">
        <v>100</v>
      </c>
      <c r="F19" s="175">
        <v>12234</v>
      </c>
      <c r="G19" s="170">
        <v>0.45</v>
      </c>
      <c r="H19" s="170">
        <v>0.55000000000000004</v>
      </c>
      <c r="I19" s="191">
        <v>1030</v>
      </c>
      <c r="J19" s="191">
        <f>I19*6</f>
        <v>6180</v>
      </c>
      <c r="K19" s="193">
        <f t="shared" ref="K19" si="0">J19/F19</f>
        <v>0.50514958312898484</v>
      </c>
    </row>
    <row r="20" spans="1:11" x14ac:dyDescent="0.25">
      <c r="A20" s="171"/>
      <c r="B20" s="171"/>
      <c r="C20" s="172"/>
      <c r="D20" s="173"/>
      <c r="E20" s="174"/>
      <c r="F20" s="175"/>
      <c r="G20" s="170"/>
      <c r="H20" s="170"/>
      <c r="I20" s="192"/>
      <c r="J20" s="192"/>
      <c r="K20" s="194"/>
    </row>
    <row r="21" spans="1:11" x14ac:dyDescent="0.25">
      <c r="A21" s="171" t="s">
        <v>101</v>
      </c>
      <c r="B21" s="171" t="s">
        <v>102</v>
      </c>
      <c r="C21" s="172" t="s">
        <v>89</v>
      </c>
      <c r="D21" s="173" t="s">
        <v>85</v>
      </c>
      <c r="E21" s="174" t="s">
        <v>103</v>
      </c>
      <c r="F21" s="175">
        <v>382978</v>
      </c>
      <c r="G21" s="170">
        <v>0.45</v>
      </c>
      <c r="H21" s="170">
        <v>0.55000000000000004</v>
      </c>
      <c r="I21" s="191">
        <v>18806</v>
      </c>
      <c r="J21" s="191">
        <f>I21*6</f>
        <v>112836</v>
      </c>
      <c r="K21" s="195">
        <f t="shared" ref="K21" si="1">J21/F21</f>
        <v>0.29462788985268085</v>
      </c>
    </row>
    <row r="22" spans="1:11" x14ac:dyDescent="0.25">
      <c r="A22" s="171"/>
      <c r="B22" s="171"/>
      <c r="C22" s="172"/>
      <c r="D22" s="173"/>
      <c r="E22" s="174"/>
      <c r="F22" s="175"/>
      <c r="G22" s="170"/>
      <c r="H22" s="170"/>
      <c r="I22" s="192"/>
      <c r="J22" s="192"/>
      <c r="K22" s="196"/>
    </row>
    <row r="23" spans="1:11" x14ac:dyDescent="0.25">
      <c r="A23" s="171" t="s">
        <v>104</v>
      </c>
      <c r="B23" s="171" t="s">
        <v>105</v>
      </c>
      <c r="C23" s="172" t="s">
        <v>89</v>
      </c>
      <c r="D23" s="173" t="s">
        <v>85</v>
      </c>
      <c r="E23" s="174" t="s">
        <v>106</v>
      </c>
      <c r="F23" s="175">
        <v>100246</v>
      </c>
      <c r="G23" s="170">
        <v>0.45</v>
      </c>
      <c r="H23" s="170">
        <v>0.55000000000000004</v>
      </c>
      <c r="I23" s="191">
        <v>1980</v>
      </c>
      <c r="J23" s="191">
        <f>I23*6</f>
        <v>11880</v>
      </c>
      <c r="K23" s="195">
        <f t="shared" ref="K23" si="2">J23/F23</f>
        <v>0.118508469165852</v>
      </c>
    </row>
    <row r="24" spans="1:11" x14ac:dyDescent="0.25">
      <c r="A24" s="171"/>
      <c r="B24" s="171"/>
      <c r="C24" s="172"/>
      <c r="D24" s="173"/>
      <c r="E24" s="174"/>
      <c r="F24" s="175"/>
      <c r="G24" s="170"/>
      <c r="H24" s="170"/>
      <c r="I24" s="192"/>
      <c r="J24" s="192"/>
      <c r="K24" s="196"/>
    </row>
    <row r="25" spans="1:11" x14ac:dyDescent="0.25">
      <c r="J25" s="81"/>
    </row>
    <row r="26" spans="1:11" ht="15" customHeight="1" x14ac:dyDescent="0.25">
      <c r="A26" s="77" t="s">
        <v>107</v>
      </c>
      <c r="B26" s="186" t="s">
        <v>108</v>
      </c>
      <c r="C26" s="187"/>
      <c r="D26" s="187"/>
      <c r="E26" s="187"/>
      <c r="F26" s="187"/>
      <c r="G26" s="187"/>
      <c r="H26" s="187"/>
      <c r="I26" s="187"/>
      <c r="J26" s="187"/>
      <c r="K26" s="188"/>
    </row>
    <row r="27" spans="1:11" x14ac:dyDescent="0.25">
      <c r="A27" s="77" t="s">
        <v>71</v>
      </c>
      <c r="B27" s="78" t="s">
        <v>109</v>
      </c>
      <c r="C27" s="78"/>
      <c r="D27" s="180"/>
      <c r="E27" s="180"/>
      <c r="F27" s="180"/>
      <c r="G27" s="180"/>
      <c r="H27" s="180"/>
      <c r="I27" s="181" t="s">
        <v>81</v>
      </c>
      <c r="J27" s="182"/>
      <c r="K27" s="183"/>
    </row>
    <row r="28" spans="1:11" ht="15" customHeight="1" x14ac:dyDescent="0.25">
      <c r="A28" s="164" t="s">
        <v>73</v>
      </c>
      <c r="B28" s="165" t="s">
        <v>74</v>
      </c>
      <c r="C28" s="164" t="s">
        <v>75</v>
      </c>
      <c r="D28" s="164" t="s">
        <v>76</v>
      </c>
      <c r="E28" s="79" t="s">
        <v>77</v>
      </c>
      <c r="F28" s="165" t="s">
        <v>39</v>
      </c>
      <c r="G28" s="165" t="s">
        <v>79</v>
      </c>
      <c r="H28" s="165" t="s">
        <v>80</v>
      </c>
      <c r="I28" s="176" t="s">
        <v>116</v>
      </c>
      <c r="J28" s="179" t="s">
        <v>117</v>
      </c>
      <c r="K28" s="184" t="s">
        <v>134</v>
      </c>
    </row>
    <row r="29" spans="1:11" x14ac:dyDescent="0.25">
      <c r="A29" s="164"/>
      <c r="B29" s="165"/>
      <c r="C29" s="164"/>
      <c r="D29" s="164"/>
      <c r="E29" s="79" t="s">
        <v>78</v>
      </c>
      <c r="F29" s="165"/>
      <c r="G29" s="165"/>
      <c r="H29" s="165"/>
      <c r="I29" s="176"/>
      <c r="J29" s="179"/>
      <c r="K29" s="185"/>
    </row>
    <row r="30" spans="1:11" x14ac:dyDescent="0.25">
      <c r="A30" s="177" t="s">
        <v>110</v>
      </c>
      <c r="B30" s="171" t="s">
        <v>111</v>
      </c>
      <c r="C30" s="172" t="s">
        <v>89</v>
      </c>
      <c r="D30" s="173" t="s">
        <v>112</v>
      </c>
      <c r="E30" s="174" t="s">
        <v>113</v>
      </c>
      <c r="F30" s="175">
        <v>41534</v>
      </c>
      <c r="G30" s="170">
        <v>0.45</v>
      </c>
      <c r="H30" s="170">
        <v>0.55000000000000004</v>
      </c>
      <c r="I30" s="191">
        <v>909</v>
      </c>
      <c r="J30" s="191">
        <f>I30*6</f>
        <v>5454</v>
      </c>
      <c r="K30" s="195">
        <f t="shared" ref="K30" si="3">J30/F30</f>
        <v>0.13131410410747821</v>
      </c>
    </row>
    <row r="31" spans="1:11" x14ac:dyDescent="0.25">
      <c r="A31" s="178"/>
      <c r="B31" s="171"/>
      <c r="C31" s="172"/>
      <c r="D31" s="173"/>
      <c r="E31" s="174"/>
      <c r="F31" s="175"/>
      <c r="G31" s="170"/>
      <c r="H31" s="170"/>
      <c r="I31" s="192"/>
      <c r="J31" s="192"/>
      <c r="K31" s="196"/>
    </row>
  </sheetData>
  <mergeCells count="115">
    <mergeCell ref="I30:I31"/>
    <mergeCell ref="B26:K26"/>
    <mergeCell ref="J28:J29"/>
    <mergeCell ref="K28:K29"/>
    <mergeCell ref="J30:J31"/>
    <mergeCell ref="K17:K18"/>
    <mergeCell ref="K19:K20"/>
    <mergeCell ref="K21:K22"/>
    <mergeCell ref="K23:K24"/>
    <mergeCell ref="K30:K31"/>
    <mergeCell ref="J23:J24"/>
    <mergeCell ref="I17:I18"/>
    <mergeCell ref="I19:I20"/>
    <mergeCell ref="I21:I22"/>
    <mergeCell ref="I23:I24"/>
    <mergeCell ref="D27:H27"/>
    <mergeCell ref="I27:K27"/>
    <mergeCell ref="G30:G31"/>
    <mergeCell ref="H30:H31"/>
    <mergeCell ref="J17:J18"/>
    <mergeCell ref="J19:J20"/>
    <mergeCell ref="J21:J22"/>
    <mergeCell ref="G28:G29"/>
    <mergeCell ref="H28:H29"/>
    <mergeCell ref="J15:J16"/>
    <mergeCell ref="D14:H14"/>
    <mergeCell ref="I14:K14"/>
    <mergeCell ref="K15:K16"/>
    <mergeCell ref="B4:K4"/>
    <mergeCell ref="I8:I9"/>
    <mergeCell ref="J8:J9"/>
    <mergeCell ref="K8:K9"/>
    <mergeCell ref="I10:I11"/>
    <mergeCell ref="J10:J11"/>
    <mergeCell ref="K10:K11"/>
    <mergeCell ref="J6:J7"/>
    <mergeCell ref="K6:K7"/>
    <mergeCell ref="I5:K5"/>
    <mergeCell ref="B13:K13"/>
    <mergeCell ref="G10:G11"/>
    <mergeCell ref="H10:H11"/>
    <mergeCell ref="I6:I7"/>
    <mergeCell ref="I15:I16"/>
    <mergeCell ref="C8:C9"/>
    <mergeCell ref="D8:D9"/>
    <mergeCell ref="E8:E9"/>
    <mergeCell ref="F8:F9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F28:F29"/>
    <mergeCell ref="I28:I29"/>
    <mergeCell ref="G21:G22"/>
    <mergeCell ref="H21:H22"/>
    <mergeCell ref="A23:A24"/>
    <mergeCell ref="B23:B24"/>
    <mergeCell ref="C23:C24"/>
    <mergeCell ref="D23:D24"/>
    <mergeCell ref="E23:E24"/>
    <mergeCell ref="F23:F24"/>
    <mergeCell ref="G23:G24"/>
    <mergeCell ref="H23:H24"/>
    <mergeCell ref="A21:A22"/>
    <mergeCell ref="B21:B22"/>
    <mergeCell ref="C21:C22"/>
    <mergeCell ref="D21:D22"/>
    <mergeCell ref="E21:E22"/>
    <mergeCell ref="F21:F22"/>
    <mergeCell ref="A19:A20"/>
    <mergeCell ref="B19:B20"/>
    <mergeCell ref="C19:C20"/>
    <mergeCell ref="D19:D20"/>
    <mergeCell ref="E19:E20"/>
    <mergeCell ref="F19:F20"/>
    <mergeCell ref="G19:G20"/>
    <mergeCell ref="H19:H20"/>
    <mergeCell ref="A17:A18"/>
    <mergeCell ref="B17:B18"/>
    <mergeCell ref="C17:C18"/>
    <mergeCell ref="D17:D18"/>
    <mergeCell ref="E17:E18"/>
    <mergeCell ref="F17:F18"/>
    <mergeCell ref="G17:G18"/>
    <mergeCell ref="H17:H18"/>
    <mergeCell ref="A6:A7"/>
    <mergeCell ref="B6:B7"/>
    <mergeCell ref="C6:C7"/>
    <mergeCell ref="D6:D7"/>
    <mergeCell ref="F6:F7"/>
    <mergeCell ref="G6:G7"/>
    <mergeCell ref="H6:H7"/>
    <mergeCell ref="A15:A16"/>
    <mergeCell ref="B15:B16"/>
    <mergeCell ref="C15:C16"/>
    <mergeCell ref="D15:D16"/>
    <mergeCell ref="F15:F16"/>
    <mergeCell ref="G15:G16"/>
    <mergeCell ref="H15:H16"/>
    <mergeCell ref="G8:G9"/>
    <mergeCell ref="H8:H9"/>
    <mergeCell ref="A10:A11"/>
    <mergeCell ref="B10:B11"/>
    <mergeCell ref="C10:C11"/>
    <mergeCell ref="D10:D11"/>
    <mergeCell ref="E10:E11"/>
    <mergeCell ref="F10:F11"/>
    <mergeCell ref="A8:A9"/>
    <mergeCell ref="B8:B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1"/>
  <sheetViews>
    <sheetView showGridLines="0" zoomScale="80" zoomScaleNormal="80" workbookViewId="0">
      <selection activeCell="L1" sqref="L1"/>
    </sheetView>
  </sheetViews>
  <sheetFormatPr defaultRowHeight="15" x14ac:dyDescent="0.25"/>
  <cols>
    <col min="1" max="1" width="47.85546875" style="4" customWidth="1"/>
    <col min="2" max="2" width="51.7109375" style="4" customWidth="1"/>
    <col min="3" max="3" width="32.7109375" style="4" bestFit="1" customWidth="1"/>
    <col min="4" max="5" width="17.85546875" style="4" bestFit="1" customWidth="1"/>
    <col min="6" max="6" width="9.85546875" style="4" bestFit="1" customWidth="1"/>
    <col min="7" max="7" width="5.7109375" style="4" bestFit="1" customWidth="1"/>
    <col min="8" max="8" width="7.85546875" style="4" bestFit="1" customWidth="1"/>
    <col min="9" max="9" width="8.140625" style="4" bestFit="1" customWidth="1"/>
    <col min="10" max="10" width="10.85546875" style="4" bestFit="1" customWidth="1"/>
    <col min="11" max="11" width="13.42578125" style="4" customWidth="1"/>
    <col min="12" max="16384" width="9.140625" style="4"/>
  </cols>
  <sheetData>
    <row r="1" spans="1:11" x14ac:dyDescent="0.25">
      <c r="A1" s="80" t="s">
        <v>114</v>
      </c>
      <c r="J1" s="85" t="s">
        <v>118</v>
      </c>
      <c r="K1" s="86">
        <v>42916</v>
      </c>
    </row>
    <row r="2" spans="1:11" x14ac:dyDescent="0.25">
      <c r="A2" t="s">
        <v>115</v>
      </c>
    </row>
    <row r="4" spans="1:11" ht="15" customHeight="1" x14ac:dyDescent="0.25">
      <c r="A4" s="88" t="s">
        <v>69</v>
      </c>
      <c r="B4" s="186" t="s">
        <v>70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1:11" x14ac:dyDescent="0.25">
      <c r="A5" s="88" t="s">
        <v>71</v>
      </c>
      <c r="B5" s="78" t="s">
        <v>72</v>
      </c>
      <c r="C5" s="78"/>
      <c r="D5" s="82"/>
      <c r="E5" s="83"/>
      <c r="F5" s="83"/>
      <c r="G5" s="83"/>
      <c r="H5" s="84"/>
      <c r="I5" s="181" t="s">
        <v>81</v>
      </c>
      <c r="J5" s="182"/>
      <c r="K5" s="183"/>
    </row>
    <row r="6" spans="1:11" ht="15" customHeight="1" x14ac:dyDescent="0.25">
      <c r="A6" s="164" t="s">
        <v>73</v>
      </c>
      <c r="B6" s="165" t="s">
        <v>74</v>
      </c>
      <c r="C6" s="164" t="s">
        <v>75</v>
      </c>
      <c r="D6" s="164" t="s">
        <v>76</v>
      </c>
      <c r="E6" s="87" t="s">
        <v>77</v>
      </c>
      <c r="F6" s="165" t="s">
        <v>39</v>
      </c>
      <c r="G6" s="165" t="s">
        <v>79</v>
      </c>
      <c r="H6" s="165" t="s">
        <v>80</v>
      </c>
      <c r="I6" s="176" t="s">
        <v>116</v>
      </c>
      <c r="J6" s="179" t="s">
        <v>117</v>
      </c>
      <c r="K6" s="184" t="s">
        <v>134</v>
      </c>
    </row>
    <row r="7" spans="1:11" x14ac:dyDescent="0.25">
      <c r="A7" s="164"/>
      <c r="B7" s="165"/>
      <c r="C7" s="164"/>
      <c r="D7" s="164"/>
      <c r="E7" s="87" t="s">
        <v>78</v>
      </c>
      <c r="F7" s="165"/>
      <c r="G7" s="165"/>
      <c r="H7" s="165"/>
      <c r="I7" s="176"/>
      <c r="J7" s="179"/>
      <c r="K7" s="185"/>
    </row>
    <row r="8" spans="1:11" x14ac:dyDescent="0.25">
      <c r="A8" s="171" t="s">
        <v>82</v>
      </c>
      <c r="B8" s="171" t="s">
        <v>83</v>
      </c>
      <c r="C8" s="172" t="s">
        <v>84</v>
      </c>
      <c r="D8" s="173" t="s">
        <v>85</v>
      </c>
      <c r="E8" s="174" t="s">
        <v>86</v>
      </c>
      <c r="F8" s="175">
        <v>344258</v>
      </c>
      <c r="G8" s="170">
        <v>0.45</v>
      </c>
      <c r="H8" s="170">
        <v>0.55000000000000004</v>
      </c>
      <c r="I8" s="189">
        <v>63591</v>
      </c>
      <c r="J8" s="191">
        <f>I8*6</f>
        <v>381546</v>
      </c>
      <c r="K8" s="193">
        <f>J8/F8</f>
        <v>1.10831411325227</v>
      </c>
    </row>
    <row r="9" spans="1:11" x14ac:dyDescent="0.25">
      <c r="A9" s="171"/>
      <c r="B9" s="171"/>
      <c r="C9" s="172"/>
      <c r="D9" s="173"/>
      <c r="E9" s="174"/>
      <c r="F9" s="175"/>
      <c r="G9" s="170"/>
      <c r="H9" s="170"/>
      <c r="I9" s="190"/>
      <c r="J9" s="192"/>
      <c r="K9" s="194"/>
    </row>
    <row r="10" spans="1:11" x14ac:dyDescent="0.25">
      <c r="A10" s="171" t="s">
        <v>87</v>
      </c>
      <c r="B10" s="171" t="s">
        <v>88</v>
      </c>
      <c r="C10" s="172" t="s">
        <v>89</v>
      </c>
      <c r="D10" s="173" t="s">
        <v>85</v>
      </c>
      <c r="E10" s="174" t="s">
        <v>90</v>
      </c>
      <c r="F10" s="175">
        <v>1190204</v>
      </c>
      <c r="G10" s="170">
        <v>0.45</v>
      </c>
      <c r="H10" s="170">
        <v>0.55000000000000004</v>
      </c>
      <c r="I10" s="189">
        <v>188170</v>
      </c>
      <c r="J10" s="191">
        <f>I10*6</f>
        <v>1129020</v>
      </c>
      <c r="K10" s="193">
        <f>J10/F10</f>
        <v>0.94859368646047237</v>
      </c>
    </row>
    <row r="11" spans="1:11" x14ac:dyDescent="0.25">
      <c r="A11" s="171"/>
      <c r="B11" s="171"/>
      <c r="C11" s="172"/>
      <c r="D11" s="173"/>
      <c r="E11" s="174"/>
      <c r="F11" s="175"/>
      <c r="G11" s="170"/>
      <c r="H11" s="170"/>
      <c r="I11" s="190"/>
      <c r="J11" s="192"/>
      <c r="K11" s="194"/>
    </row>
    <row r="12" spans="1:11" x14ac:dyDescent="0.25">
      <c r="J12" s="81"/>
    </row>
    <row r="13" spans="1:11" ht="15" customHeight="1" x14ac:dyDescent="0.25">
      <c r="A13" s="88" t="s">
        <v>91</v>
      </c>
      <c r="B13" s="186" t="s">
        <v>92</v>
      </c>
      <c r="C13" s="187"/>
      <c r="D13" s="187"/>
      <c r="E13" s="187"/>
      <c r="F13" s="187"/>
      <c r="G13" s="187"/>
      <c r="H13" s="187"/>
      <c r="I13" s="187"/>
      <c r="J13" s="187"/>
      <c r="K13" s="188"/>
    </row>
    <row r="14" spans="1:11" x14ac:dyDescent="0.25">
      <c r="A14" s="88" t="s">
        <v>71</v>
      </c>
      <c r="B14" s="78" t="s">
        <v>93</v>
      </c>
      <c r="C14" s="78"/>
      <c r="D14" s="180"/>
      <c r="E14" s="180"/>
      <c r="F14" s="180"/>
      <c r="G14" s="180"/>
      <c r="H14" s="180"/>
      <c r="I14" s="181" t="s">
        <v>81</v>
      </c>
      <c r="J14" s="182"/>
      <c r="K14" s="183"/>
    </row>
    <row r="15" spans="1:11" ht="15" customHeight="1" x14ac:dyDescent="0.25">
      <c r="A15" s="164" t="s">
        <v>73</v>
      </c>
      <c r="B15" s="165" t="s">
        <v>74</v>
      </c>
      <c r="C15" s="164" t="s">
        <v>75</v>
      </c>
      <c r="D15" s="166" t="s">
        <v>76</v>
      </c>
      <c r="E15" s="87" t="s">
        <v>77</v>
      </c>
      <c r="F15" s="168" t="s">
        <v>39</v>
      </c>
      <c r="G15" s="168" t="s">
        <v>79</v>
      </c>
      <c r="H15" s="168" t="s">
        <v>80</v>
      </c>
      <c r="I15" s="176" t="s">
        <v>116</v>
      </c>
      <c r="J15" s="179" t="s">
        <v>117</v>
      </c>
      <c r="K15" s="184" t="s">
        <v>134</v>
      </c>
    </row>
    <row r="16" spans="1:11" x14ac:dyDescent="0.25">
      <c r="A16" s="164"/>
      <c r="B16" s="165"/>
      <c r="C16" s="164"/>
      <c r="D16" s="167"/>
      <c r="E16" s="87" t="s">
        <v>78</v>
      </c>
      <c r="F16" s="169"/>
      <c r="G16" s="169"/>
      <c r="H16" s="169"/>
      <c r="I16" s="176"/>
      <c r="J16" s="179"/>
      <c r="K16" s="185"/>
    </row>
    <row r="17" spans="1:11" x14ac:dyDescent="0.25">
      <c r="A17" s="171" t="s">
        <v>94</v>
      </c>
      <c r="B17" s="171" t="s">
        <v>95</v>
      </c>
      <c r="C17" s="172" t="s">
        <v>96</v>
      </c>
      <c r="D17" s="173" t="s">
        <v>85</v>
      </c>
      <c r="E17" s="174" t="s">
        <v>97</v>
      </c>
      <c r="F17" s="175">
        <v>256530</v>
      </c>
      <c r="G17" s="170">
        <v>0.45</v>
      </c>
      <c r="H17" s="170">
        <v>0.55000000000000004</v>
      </c>
      <c r="I17" s="191">
        <v>29</v>
      </c>
      <c r="J17" s="191">
        <f>I17*6</f>
        <v>174</v>
      </c>
      <c r="K17" s="195">
        <f>J17/F17</f>
        <v>6.7828324172611385E-4</v>
      </c>
    </row>
    <row r="18" spans="1:11" x14ac:dyDescent="0.25">
      <c r="A18" s="171"/>
      <c r="B18" s="171"/>
      <c r="C18" s="172"/>
      <c r="D18" s="173"/>
      <c r="E18" s="174"/>
      <c r="F18" s="175"/>
      <c r="G18" s="170"/>
      <c r="H18" s="170"/>
      <c r="I18" s="192"/>
      <c r="J18" s="192"/>
      <c r="K18" s="196"/>
    </row>
    <row r="19" spans="1:11" x14ac:dyDescent="0.25">
      <c r="A19" s="171" t="s">
        <v>98</v>
      </c>
      <c r="B19" s="171" t="s">
        <v>99</v>
      </c>
      <c r="C19" s="172" t="s">
        <v>96</v>
      </c>
      <c r="D19" s="173" t="s">
        <v>85</v>
      </c>
      <c r="E19" s="174" t="s">
        <v>100</v>
      </c>
      <c r="F19" s="175">
        <v>12234</v>
      </c>
      <c r="G19" s="170">
        <v>0.45</v>
      </c>
      <c r="H19" s="170">
        <v>0.55000000000000004</v>
      </c>
      <c r="I19" s="191">
        <v>1030</v>
      </c>
      <c r="J19" s="191">
        <f>I19*6</f>
        <v>6180</v>
      </c>
      <c r="K19" s="193">
        <f t="shared" ref="K19" si="0">J19/F19</f>
        <v>0.50514958312898484</v>
      </c>
    </row>
    <row r="20" spans="1:11" x14ac:dyDescent="0.25">
      <c r="A20" s="171"/>
      <c r="B20" s="171"/>
      <c r="C20" s="172"/>
      <c r="D20" s="173"/>
      <c r="E20" s="174"/>
      <c r="F20" s="175"/>
      <c r="G20" s="170"/>
      <c r="H20" s="170"/>
      <c r="I20" s="192"/>
      <c r="J20" s="192"/>
      <c r="K20" s="194"/>
    </row>
    <row r="21" spans="1:11" x14ac:dyDescent="0.25">
      <c r="A21" s="171" t="s">
        <v>101</v>
      </c>
      <c r="B21" s="171" t="s">
        <v>102</v>
      </c>
      <c r="C21" s="172" t="s">
        <v>89</v>
      </c>
      <c r="D21" s="173" t="s">
        <v>85</v>
      </c>
      <c r="E21" s="174" t="s">
        <v>103</v>
      </c>
      <c r="F21" s="175">
        <v>382978</v>
      </c>
      <c r="G21" s="170">
        <v>0.45</v>
      </c>
      <c r="H21" s="170">
        <v>0.55000000000000004</v>
      </c>
      <c r="I21" s="191">
        <v>20711</v>
      </c>
      <c r="J21" s="191">
        <f>I21*6</f>
        <v>124266</v>
      </c>
      <c r="K21" s="195">
        <f t="shared" ref="K21" si="1">J21/F21</f>
        <v>0.32447294622667622</v>
      </c>
    </row>
    <row r="22" spans="1:11" x14ac:dyDescent="0.25">
      <c r="A22" s="171"/>
      <c r="B22" s="171"/>
      <c r="C22" s="172"/>
      <c r="D22" s="173"/>
      <c r="E22" s="174"/>
      <c r="F22" s="175"/>
      <c r="G22" s="170"/>
      <c r="H22" s="170"/>
      <c r="I22" s="192"/>
      <c r="J22" s="192"/>
      <c r="K22" s="196"/>
    </row>
    <row r="23" spans="1:11" x14ac:dyDescent="0.25">
      <c r="A23" s="171" t="s">
        <v>104</v>
      </c>
      <c r="B23" s="171" t="s">
        <v>105</v>
      </c>
      <c r="C23" s="172" t="s">
        <v>89</v>
      </c>
      <c r="D23" s="173" t="s">
        <v>85</v>
      </c>
      <c r="E23" s="174" t="s">
        <v>106</v>
      </c>
      <c r="F23" s="175">
        <v>100246</v>
      </c>
      <c r="G23" s="170">
        <v>0.45</v>
      </c>
      <c r="H23" s="170">
        <v>0.55000000000000004</v>
      </c>
      <c r="I23" s="191">
        <v>2371</v>
      </c>
      <c r="J23" s="191">
        <f>I23*6</f>
        <v>14226</v>
      </c>
      <c r="K23" s="195">
        <f t="shared" ref="K23" si="2">J23/F23</f>
        <v>0.14191089918799751</v>
      </c>
    </row>
    <row r="24" spans="1:11" x14ac:dyDescent="0.25">
      <c r="A24" s="171"/>
      <c r="B24" s="171"/>
      <c r="C24" s="172"/>
      <c r="D24" s="173"/>
      <c r="E24" s="174"/>
      <c r="F24" s="175"/>
      <c r="G24" s="170"/>
      <c r="H24" s="170"/>
      <c r="I24" s="192"/>
      <c r="J24" s="192"/>
      <c r="K24" s="196"/>
    </row>
    <row r="25" spans="1:11" x14ac:dyDescent="0.25">
      <c r="J25" s="81"/>
    </row>
    <row r="26" spans="1:11" ht="15" customHeight="1" x14ac:dyDescent="0.25">
      <c r="A26" s="88" t="s">
        <v>107</v>
      </c>
      <c r="B26" s="186" t="s">
        <v>108</v>
      </c>
      <c r="C26" s="187"/>
      <c r="D26" s="187"/>
      <c r="E26" s="187"/>
      <c r="F26" s="187"/>
      <c r="G26" s="187"/>
      <c r="H26" s="187"/>
      <c r="I26" s="187"/>
      <c r="J26" s="187"/>
      <c r="K26" s="188"/>
    </row>
    <row r="27" spans="1:11" x14ac:dyDescent="0.25">
      <c r="A27" s="88" t="s">
        <v>71</v>
      </c>
      <c r="B27" s="78" t="s">
        <v>109</v>
      </c>
      <c r="C27" s="78"/>
      <c r="D27" s="180"/>
      <c r="E27" s="180"/>
      <c r="F27" s="180"/>
      <c r="G27" s="180"/>
      <c r="H27" s="180"/>
      <c r="I27" s="181" t="s">
        <v>81</v>
      </c>
      <c r="J27" s="182"/>
      <c r="K27" s="183"/>
    </row>
    <row r="28" spans="1:11" ht="15" customHeight="1" x14ac:dyDescent="0.25">
      <c r="A28" s="164" t="s">
        <v>73</v>
      </c>
      <c r="B28" s="165" t="s">
        <v>74</v>
      </c>
      <c r="C28" s="164" t="s">
        <v>75</v>
      </c>
      <c r="D28" s="164" t="s">
        <v>76</v>
      </c>
      <c r="E28" s="87" t="s">
        <v>77</v>
      </c>
      <c r="F28" s="165" t="s">
        <v>39</v>
      </c>
      <c r="G28" s="165" t="s">
        <v>79</v>
      </c>
      <c r="H28" s="165" t="s">
        <v>80</v>
      </c>
      <c r="I28" s="176" t="s">
        <v>116</v>
      </c>
      <c r="J28" s="179" t="s">
        <v>117</v>
      </c>
      <c r="K28" s="184" t="s">
        <v>134</v>
      </c>
    </row>
    <row r="29" spans="1:11" x14ac:dyDescent="0.25">
      <c r="A29" s="164"/>
      <c r="B29" s="165"/>
      <c r="C29" s="164"/>
      <c r="D29" s="164"/>
      <c r="E29" s="87" t="s">
        <v>78</v>
      </c>
      <c r="F29" s="165"/>
      <c r="G29" s="165"/>
      <c r="H29" s="165"/>
      <c r="I29" s="176"/>
      <c r="J29" s="179"/>
      <c r="K29" s="185"/>
    </row>
    <row r="30" spans="1:11" x14ac:dyDescent="0.25">
      <c r="A30" s="177" t="s">
        <v>110</v>
      </c>
      <c r="B30" s="171" t="s">
        <v>111</v>
      </c>
      <c r="C30" s="172" t="s">
        <v>89</v>
      </c>
      <c r="D30" s="173" t="s">
        <v>112</v>
      </c>
      <c r="E30" s="174" t="s">
        <v>113</v>
      </c>
      <c r="F30" s="175">
        <v>41534</v>
      </c>
      <c r="G30" s="170">
        <v>0.45</v>
      </c>
      <c r="H30" s="170">
        <v>0.55000000000000004</v>
      </c>
      <c r="I30" s="191">
        <v>1509</v>
      </c>
      <c r="J30" s="191">
        <f>I30*6</f>
        <v>9054</v>
      </c>
      <c r="K30" s="195">
        <f t="shared" ref="K30" si="3">J30/F30</f>
        <v>0.21799008041604467</v>
      </c>
    </row>
    <row r="31" spans="1:11" x14ac:dyDescent="0.25">
      <c r="A31" s="178"/>
      <c r="B31" s="171"/>
      <c r="C31" s="172"/>
      <c r="D31" s="173"/>
      <c r="E31" s="174"/>
      <c r="F31" s="175"/>
      <c r="G31" s="170"/>
      <c r="H31" s="170"/>
      <c r="I31" s="192"/>
      <c r="J31" s="192"/>
      <c r="K31" s="196"/>
    </row>
  </sheetData>
  <mergeCells count="115">
    <mergeCell ref="H30:H31"/>
    <mergeCell ref="I30:I31"/>
    <mergeCell ref="J30:J31"/>
    <mergeCell ref="K30:K31"/>
    <mergeCell ref="I28:I29"/>
    <mergeCell ref="J28:J29"/>
    <mergeCell ref="K28:K29"/>
    <mergeCell ref="A30:A31"/>
    <mergeCell ref="B30:B31"/>
    <mergeCell ref="C30:C31"/>
    <mergeCell ref="D30:D31"/>
    <mergeCell ref="E30:E31"/>
    <mergeCell ref="F30:F31"/>
    <mergeCell ref="G30:G31"/>
    <mergeCell ref="B26:K26"/>
    <mergeCell ref="D27:H27"/>
    <mergeCell ref="I27:K27"/>
    <mergeCell ref="A28:A29"/>
    <mergeCell ref="B28:B29"/>
    <mergeCell ref="C28:C29"/>
    <mergeCell ref="D28:D29"/>
    <mergeCell ref="F28:F29"/>
    <mergeCell ref="G28:G29"/>
    <mergeCell ref="H28:H29"/>
    <mergeCell ref="F23:F24"/>
    <mergeCell ref="G23:G24"/>
    <mergeCell ref="H23:H24"/>
    <mergeCell ref="I23:I24"/>
    <mergeCell ref="J23:J24"/>
    <mergeCell ref="K23:K24"/>
    <mergeCell ref="G21:G22"/>
    <mergeCell ref="H21:H22"/>
    <mergeCell ref="I21:I22"/>
    <mergeCell ref="J21:J22"/>
    <mergeCell ref="K21:K22"/>
    <mergeCell ref="F21:F22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D15:D16"/>
    <mergeCell ref="F15:F16"/>
    <mergeCell ref="G15:G16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K17:K18"/>
    <mergeCell ref="B13:K13"/>
    <mergeCell ref="D14:H14"/>
    <mergeCell ref="I14:K14"/>
    <mergeCell ref="I8:I9"/>
    <mergeCell ref="J8:J9"/>
    <mergeCell ref="K8:K9"/>
    <mergeCell ref="A19:A20"/>
    <mergeCell ref="B19:B20"/>
    <mergeCell ref="C19:C20"/>
    <mergeCell ref="D19:D20"/>
    <mergeCell ref="E19:E20"/>
    <mergeCell ref="H15:H16"/>
    <mergeCell ref="I15:I16"/>
    <mergeCell ref="J15:J16"/>
    <mergeCell ref="K15:K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A10:A11"/>
    <mergeCell ref="B10:B11"/>
    <mergeCell ref="C10:C11"/>
    <mergeCell ref="D10:D11"/>
    <mergeCell ref="E10:E11"/>
    <mergeCell ref="F10:F11"/>
    <mergeCell ref="G10:G11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H10:H11"/>
    <mergeCell ref="I10:I11"/>
    <mergeCell ref="J10:J11"/>
    <mergeCell ref="K10:K11"/>
    <mergeCell ref="B4:K4"/>
    <mergeCell ref="I5:K5"/>
    <mergeCell ref="A6:A7"/>
    <mergeCell ref="B6:B7"/>
    <mergeCell ref="C6:C7"/>
    <mergeCell ref="D6:D7"/>
    <mergeCell ref="F6:F7"/>
    <mergeCell ref="G6:G7"/>
    <mergeCell ref="H6:H7"/>
    <mergeCell ref="I6:I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1"/>
  <sheetViews>
    <sheetView showGridLines="0" zoomScale="80" zoomScaleNormal="80" workbookViewId="0">
      <selection activeCell="L1" sqref="L1"/>
    </sheetView>
  </sheetViews>
  <sheetFormatPr defaultRowHeight="15" x14ac:dyDescent="0.25"/>
  <cols>
    <col min="1" max="1" width="47.85546875" style="4" customWidth="1"/>
    <col min="2" max="2" width="51.7109375" style="4" customWidth="1"/>
    <col min="3" max="3" width="32.7109375" style="4" bestFit="1" customWidth="1"/>
    <col min="4" max="5" width="17.85546875" style="4" bestFit="1" customWidth="1"/>
    <col min="6" max="6" width="9.85546875" style="4" bestFit="1" customWidth="1"/>
    <col min="7" max="7" width="5.7109375" style="4" bestFit="1" customWidth="1"/>
    <col min="8" max="8" width="7.85546875" style="4" bestFit="1" customWidth="1"/>
    <col min="9" max="9" width="8.140625" style="4" bestFit="1" customWidth="1"/>
    <col min="10" max="10" width="10.85546875" style="4" bestFit="1" customWidth="1"/>
    <col min="11" max="11" width="13.42578125" style="4" customWidth="1"/>
    <col min="12" max="16384" width="9.140625" style="4"/>
  </cols>
  <sheetData>
    <row r="1" spans="1:11" x14ac:dyDescent="0.25">
      <c r="A1" s="80" t="s">
        <v>114</v>
      </c>
      <c r="J1" s="85" t="s">
        <v>118</v>
      </c>
      <c r="K1" s="86">
        <v>42946</v>
      </c>
    </row>
    <row r="2" spans="1:11" x14ac:dyDescent="0.25">
      <c r="A2" t="s">
        <v>115</v>
      </c>
    </row>
    <row r="4" spans="1:11" ht="15" customHeight="1" x14ac:dyDescent="0.25">
      <c r="A4" s="104" t="s">
        <v>69</v>
      </c>
      <c r="B4" s="186" t="s">
        <v>70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1:11" x14ac:dyDescent="0.25">
      <c r="A5" s="104" t="s">
        <v>71</v>
      </c>
      <c r="B5" s="78" t="s">
        <v>72</v>
      </c>
      <c r="C5" s="78"/>
      <c r="D5" s="82"/>
      <c r="E5" s="83"/>
      <c r="F5" s="83"/>
      <c r="G5" s="83"/>
      <c r="H5" s="84"/>
      <c r="I5" s="181" t="s">
        <v>81</v>
      </c>
      <c r="J5" s="182"/>
      <c r="K5" s="183"/>
    </row>
    <row r="6" spans="1:11" ht="15" customHeight="1" x14ac:dyDescent="0.25">
      <c r="A6" s="164" t="s">
        <v>73</v>
      </c>
      <c r="B6" s="165" t="s">
        <v>74</v>
      </c>
      <c r="C6" s="164" t="s">
        <v>75</v>
      </c>
      <c r="D6" s="164" t="s">
        <v>76</v>
      </c>
      <c r="E6" s="105" t="s">
        <v>77</v>
      </c>
      <c r="F6" s="165" t="s">
        <v>39</v>
      </c>
      <c r="G6" s="165" t="s">
        <v>79</v>
      </c>
      <c r="H6" s="165" t="s">
        <v>80</v>
      </c>
      <c r="I6" s="176" t="s">
        <v>116</v>
      </c>
      <c r="J6" s="179" t="s">
        <v>117</v>
      </c>
      <c r="K6" s="184" t="s">
        <v>134</v>
      </c>
    </row>
    <row r="7" spans="1:11" x14ac:dyDescent="0.25">
      <c r="A7" s="164"/>
      <c r="B7" s="165"/>
      <c r="C7" s="164"/>
      <c r="D7" s="164"/>
      <c r="E7" s="105" t="s">
        <v>78</v>
      </c>
      <c r="F7" s="165"/>
      <c r="G7" s="165"/>
      <c r="H7" s="165"/>
      <c r="I7" s="176"/>
      <c r="J7" s="179"/>
      <c r="K7" s="185"/>
    </row>
    <row r="8" spans="1:11" x14ac:dyDescent="0.25">
      <c r="A8" s="171" t="s">
        <v>82</v>
      </c>
      <c r="B8" s="171" t="s">
        <v>83</v>
      </c>
      <c r="C8" s="172" t="s">
        <v>84</v>
      </c>
      <c r="D8" s="173" t="s">
        <v>85</v>
      </c>
      <c r="E8" s="174" t="s">
        <v>86</v>
      </c>
      <c r="F8" s="175">
        <v>344258</v>
      </c>
      <c r="G8" s="170">
        <v>0.45</v>
      </c>
      <c r="H8" s="170">
        <v>0.55000000000000004</v>
      </c>
      <c r="I8" s="189">
        <v>66361</v>
      </c>
      <c r="J8" s="191">
        <f>I8*6</f>
        <v>398166</v>
      </c>
      <c r="K8" s="193">
        <f>J8/F8</f>
        <v>1.1565918584317576</v>
      </c>
    </row>
    <row r="9" spans="1:11" x14ac:dyDescent="0.25">
      <c r="A9" s="171"/>
      <c r="B9" s="171"/>
      <c r="C9" s="172"/>
      <c r="D9" s="173"/>
      <c r="E9" s="174"/>
      <c r="F9" s="175"/>
      <c r="G9" s="170"/>
      <c r="H9" s="170"/>
      <c r="I9" s="190"/>
      <c r="J9" s="192"/>
      <c r="K9" s="194"/>
    </row>
    <row r="10" spans="1:11" x14ac:dyDescent="0.25">
      <c r="A10" s="171" t="s">
        <v>87</v>
      </c>
      <c r="B10" s="171" t="s">
        <v>88</v>
      </c>
      <c r="C10" s="172" t="s">
        <v>89</v>
      </c>
      <c r="D10" s="173" t="s">
        <v>85</v>
      </c>
      <c r="E10" s="174" t="s">
        <v>90</v>
      </c>
      <c r="F10" s="175">
        <v>1190204</v>
      </c>
      <c r="G10" s="170">
        <v>0.45</v>
      </c>
      <c r="H10" s="170">
        <v>0.55000000000000004</v>
      </c>
      <c r="I10" s="189">
        <v>249001</v>
      </c>
      <c r="J10" s="191">
        <f>I10*6</f>
        <v>1494006</v>
      </c>
      <c r="K10" s="193">
        <f>J10/F10</f>
        <v>1.2552520408266146</v>
      </c>
    </row>
    <row r="11" spans="1:11" x14ac:dyDescent="0.25">
      <c r="A11" s="171"/>
      <c r="B11" s="171"/>
      <c r="C11" s="172"/>
      <c r="D11" s="173"/>
      <c r="E11" s="174"/>
      <c r="F11" s="175"/>
      <c r="G11" s="170"/>
      <c r="H11" s="170"/>
      <c r="I11" s="190"/>
      <c r="J11" s="192"/>
      <c r="K11" s="194"/>
    </row>
    <row r="12" spans="1:11" x14ac:dyDescent="0.25">
      <c r="J12" s="81"/>
    </row>
    <row r="13" spans="1:11" ht="15" customHeight="1" x14ac:dyDescent="0.25">
      <c r="A13" s="104" t="s">
        <v>91</v>
      </c>
      <c r="B13" s="186" t="s">
        <v>92</v>
      </c>
      <c r="C13" s="187"/>
      <c r="D13" s="187"/>
      <c r="E13" s="187"/>
      <c r="F13" s="187"/>
      <c r="G13" s="187"/>
      <c r="H13" s="187"/>
      <c r="I13" s="187"/>
      <c r="J13" s="187"/>
      <c r="K13" s="188"/>
    </row>
    <row r="14" spans="1:11" x14ac:dyDescent="0.25">
      <c r="A14" s="104" t="s">
        <v>71</v>
      </c>
      <c r="B14" s="78" t="s">
        <v>93</v>
      </c>
      <c r="C14" s="78"/>
      <c r="D14" s="180"/>
      <c r="E14" s="180"/>
      <c r="F14" s="180"/>
      <c r="G14" s="180"/>
      <c r="H14" s="180"/>
      <c r="I14" s="181" t="s">
        <v>81</v>
      </c>
      <c r="J14" s="182"/>
      <c r="K14" s="183"/>
    </row>
    <row r="15" spans="1:11" ht="15" customHeight="1" x14ac:dyDescent="0.25">
      <c r="A15" s="164" t="s">
        <v>73</v>
      </c>
      <c r="B15" s="165" t="s">
        <v>74</v>
      </c>
      <c r="C15" s="164" t="s">
        <v>75</v>
      </c>
      <c r="D15" s="166" t="s">
        <v>76</v>
      </c>
      <c r="E15" s="105" t="s">
        <v>77</v>
      </c>
      <c r="F15" s="168" t="s">
        <v>39</v>
      </c>
      <c r="G15" s="168" t="s">
        <v>79</v>
      </c>
      <c r="H15" s="168" t="s">
        <v>80</v>
      </c>
      <c r="I15" s="176" t="s">
        <v>116</v>
      </c>
      <c r="J15" s="179" t="s">
        <v>117</v>
      </c>
      <c r="K15" s="184" t="s">
        <v>134</v>
      </c>
    </row>
    <row r="16" spans="1:11" x14ac:dyDescent="0.25">
      <c r="A16" s="164"/>
      <c r="B16" s="165"/>
      <c r="C16" s="164"/>
      <c r="D16" s="167"/>
      <c r="E16" s="105" t="s">
        <v>78</v>
      </c>
      <c r="F16" s="169"/>
      <c r="G16" s="169"/>
      <c r="H16" s="169"/>
      <c r="I16" s="176"/>
      <c r="J16" s="179"/>
      <c r="K16" s="185"/>
    </row>
    <row r="17" spans="1:12" x14ac:dyDescent="0.25">
      <c r="A17" s="171" t="s">
        <v>94</v>
      </c>
      <c r="B17" s="171" t="s">
        <v>95</v>
      </c>
      <c r="C17" s="172" t="s">
        <v>96</v>
      </c>
      <c r="D17" s="173" t="s">
        <v>85</v>
      </c>
      <c r="E17" s="174" t="s">
        <v>97</v>
      </c>
      <c r="F17" s="175">
        <v>256530</v>
      </c>
      <c r="G17" s="170">
        <v>0.45</v>
      </c>
      <c r="H17" s="170">
        <v>0.55000000000000004</v>
      </c>
      <c r="I17" s="191">
        <v>38</v>
      </c>
      <c r="J17" s="191">
        <f>I17*6</f>
        <v>228</v>
      </c>
      <c r="K17" s="195">
        <f>J17/F17</f>
        <v>8.8878493743421824E-4</v>
      </c>
    </row>
    <row r="18" spans="1:12" x14ac:dyDescent="0.25">
      <c r="A18" s="171"/>
      <c r="B18" s="171"/>
      <c r="C18" s="172"/>
      <c r="D18" s="173"/>
      <c r="E18" s="174"/>
      <c r="F18" s="175"/>
      <c r="G18" s="170"/>
      <c r="H18" s="170"/>
      <c r="I18" s="192"/>
      <c r="J18" s="192"/>
      <c r="K18" s="196"/>
    </row>
    <row r="19" spans="1:12" x14ac:dyDescent="0.25">
      <c r="A19" s="171" t="s">
        <v>98</v>
      </c>
      <c r="B19" s="171" t="s">
        <v>99</v>
      </c>
      <c r="C19" s="172" t="s">
        <v>96</v>
      </c>
      <c r="D19" s="173" t="s">
        <v>85</v>
      </c>
      <c r="E19" s="174" t="s">
        <v>100</v>
      </c>
      <c r="F19" s="175">
        <v>12234</v>
      </c>
      <c r="G19" s="170">
        <v>0.45</v>
      </c>
      <c r="H19" s="170">
        <v>0.55000000000000004</v>
      </c>
      <c r="I19" s="191">
        <v>5334</v>
      </c>
      <c r="J19" s="191">
        <f>I19*6</f>
        <v>32004</v>
      </c>
      <c r="K19" s="193">
        <f t="shared" ref="K19" si="0">J19/F19</f>
        <v>2.6159882295242767</v>
      </c>
    </row>
    <row r="20" spans="1:12" x14ac:dyDescent="0.25">
      <c r="A20" s="171"/>
      <c r="B20" s="171"/>
      <c r="C20" s="172"/>
      <c r="D20" s="173"/>
      <c r="E20" s="174"/>
      <c r="F20" s="175"/>
      <c r="G20" s="170"/>
      <c r="H20" s="170"/>
      <c r="I20" s="192"/>
      <c r="J20" s="192"/>
      <c r="K20" s="194"/>
    </row>
    <row r="21" spans="1:12" x14ac:dyDescent="0.25">
      <c r="A21" s="171" t="s">
        <v>101</v>
      </c>
      <c r="B21" s="171" t="s">
        <v>102</v>
      </c>
      <c r="C21" s="172" t="s">
        <v>89</v>
      </c>
      <c r="D21" s="173" t="s">
        <v>85</v>
      </c>
      <c r="E21" s="174" t="s">
        <v>103</v>
      </c>
      <c r="F21" s="175">
        <v>382978</v>
      </c>
      <c r="G21" s="170">
        <v>0.45</v>
      </c>
      <c r="H21" s="170">
        <v>0.55000000000000004</v>
      </c>
      <c r="I21" s="191">
        <v>22860</v>
      </c>
      <c r="J21" s="191">
        <f>I21*6</f>
        <v>137160</v>
      </c>
      <c r="K21" s="195">
        <f t="shared" ref="K21" si="1">J21/F21</f>
        <v>0.35814067648794445</v>
      </c>
    </row>
    <row r="22" spans="1:12" x14ac:dyDescent="0.25">
      <c r="A22" s="171"/>
      <c r="B22" s="171"/>
      <c r="C22" s="172"/>
      <c r="D22" s="173"/>
      <c r="E22" s="174"/>
      <c r="F22" s="175"/>
      <c r="G22" s="170"/>
      <c r="H22" s="170"/>
      <c r="I22" s="192"/>
      <c r="J22" s="192"/>
      <c r="K22" s="196"/>
    </row>
    <row r="23" spans="1:12" x14ac:dyDescent="0.25">
      <c r="A23" s="171" t="s">
        <v>104</v>
      </c>
      <c r="B23" s="171" t="s">
        <v>105</v>
      </c>
      <c r="C23" s="172" t="s">
        <v>89</v>
      </c>
      <c r="D23" s="173" t="s">
        <v>85</v>
      </c>
      <c r="E23" s="174" t="s">
        <v>106</v>
      </c>
      <c r="F23" s="175">
        <v>100246</v>
      </c>
      <c r="G23" s="170">
        <v>0.45</v>
      </c>
      <c r="H23" s="170">
        <v>0.55000000000000004</v>
      </c>
      <c r="I23" s="191">
        <v>2591</v>
      </c>
      <c r="J23" s="191">
        <f>I23*6</f>
        <v>15546</v>
      </c>
      <c r="K23" s="195">
        <f t="shared" ref="K23" si="2">J23/F23</f>
        <v>0.15507850687309219</v>
      </c>
    </row>
    <row r="24" spans="1:12" x14ac:dyDescent="0.25">
      <c r="A24" s="171"/>
      <c r="B24" s="171"/>
      <c r="C24" s="172"/>
      <c r="D24" s="173"/>
      <c r="E24" s="174"/>
      <c r="F24" s="175"/>
      <c r="G24" s="170"/>
      <c r="H24" s="170"/>
      <c r="I24" s="192"/>
      <c r="J24" s="192"/>
      <c r="K24" s="196"/>
    </row>
    <row r="25" spans="1:12" x14ac:dyDescent="0.25">
      <c r="J25" s="81"/>
    </row>
    <row r="26" spans="1:12" ht="15" customHeight="1" x14ac:dyDescent="0.25">
      <c r="A26" s="104" t="s">
        <v>107</v>
      </c>
      <c r="B26" s="186" t="s">
        <v>108</v>
      </c>
      <c r="C26" s="187"/>
      <c r="D26" s="187"/>
      <c r="E26" s="187"/>
      <c r="F26" s="187"/>
      <c r="G26" s="187"/>
      <c r="H26" s="187"/>
      <c r="I26" s="187"/>
      <c r="J26" s="187"/>
      <c r="K26" s="188"/>
    </row>
    <row r="27" spans="1:12" x14ac:dyDescent="0.25">
      <c r="A27" s="104" t="s">
        <v>71</v>
      </c>
      <c r="B27" s="78" t="s">
        <v>109</v>
      </c>
      <c r="C27" s="78"/>
      <c r="D27" s="180"/>
      <c r="E27" s="180"/>
      <c r="F27" s="180"/>
      <c r="G27" s="180"/>
      <c r="H27" s="180"/>
      <c r="I27" s="181" t="s">
        <v>81</v>
      </c>
      <c r="J27" s="182"/>
      <c r="K27" s="183"/>
    </row>
    <row r="28" spans="1:12" ht="15" customHeight="1" x14ac:dyDescent="0.25">
      <c r="A28" s="164" t="s">
        <v>73</v>
      </c>
      <c r="B28" s="165" t="s">
        <v>74</v>
      </c>
      <c r="C28" s="164" t="s">
        <v>75</v>
      </c>
      <c r="D28" s="164" t="s">
        <v>76</v>
      </c>
      <c r="E28" s="105" t="s">
        <v>77</v>
      </c>
      <c r="F28" s="165" t="s">
        <v>39</v>
      </c>
      <c r="G28" s="165" t="s">
        <v>79</v>
      </c>
      <c r="H28" s="165" t="s">
        <v>80</v>
      </c>
      <c r="I28" s="176" t="s">
        <v>116</v>
      </c>
      <c r="J28" s="179" t="s">
        <v>117</v>
      </c>
      <c r="K28" s="184" t="s">
        <v>134</v>
      </c>
    </row>
    <row r="29" spans="1:12" x14ac:dyDescent="0.25">
      <c r="A29" s="164"/>
      <c r="B29" s="165"/>
      <c r="C29" s="164"/>
      <c r="D29" s="164"/>
      <c r="E29" s="105" t="s">
        <v>78</v>
      </c>
      <c r="F29" s="165"/>
      <c r="G29" s="165"/>
      <c r="H29" s="165"/>
      <c r="I29" s="176"/>
      <c r="J29" s="179"/>
      <c r="K29" s="185"/>
    </row>
    <row r="30" spans="1:12" x14ac:dyDescent="0.25">
      <c r="A30" s="177" t="s">
        <v>110</v>
      </c>
      <c r="B30" s="171" t="s">
        <v>111</v>
      </c>
      <c r="C30" s="172" t="s">
        <v>89</v>
      </c>
      <c r="D30" s="173" t="s">
        <v>112</v>
      </c>
      <c r="E30" s="174" t="s">
        <v>113</v>
      </c>
      <c r="F30" s="175">
        <v>41534</v>
      </c>
      <c r="G30" s="170">
        <v>0.45</v>
      </c>
      <c r="H30" s="170">
        <v>0.55000000000000004</v>
      </c>
      <c r="I30" s="191">
        <v>1509</v>
      </c>
      <c r="J30" s="191">
        <f>I30*6</f>
        <v>9054</v>
      </c>
      <c r="K30" s="195">
        <f t="shared" ref="K30" si="3">J30/F30</f>
        <v>0.21799008041604467</v>
      </c>
    </row>
    <row r="31" spans="1:12" x14ac:dyDescent="0.25">
      <c r="A31" s="178"/>
      <c r="B31" s="171"/>
      <c r="C31" s="172"/>
      <c r="D31" s="173"/>
      <c r="E31" s="174"/>
      <c r="F31" s="175"/>
      <c r="G31" s="170"/>
      <c r="H31" s="170"/>
      <c r="I31" s="192"/>
      <c r="J31" s="192"/>
      <c r="K31" s="196"/>
      <c r="L31" s="41"/>
    </row>
  </sheetData>
  <mergeCells count="115">
    <mergeCell ref="B4:K4"/>
    <mergeCell ref="I5:K5"/>
    <mergeCell ref="A6:A7"/>
    <mergeCell ref="B6:B7"/>
    <mergeCell ref="C6:C7"/>
    <mergeCell ref="D6:D7"/>
    <mergeCell ref="F6:F7"/>
    <mergeCell ref="G6:G7"/>
    <mergeCell ref="H6:H7"/>
    <mergeCell ref="I6:I7"/>
    <mergeCell ref="A10:A11"/>
    <mergeCell ref="B10:B11"/>
    <mergeCell ref="C10:C11"/>
    <mergeCell ref="D10:D11"/>
    <mergeCell ref="E10:E11"/>
    <mergeCell ref="F10:F11"/>
    <mergeCell ref="G10:G11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H10:H11"/>
    <mergeCell ref="I10:I11"/>
    <mergeCell ref="J10:J11"/>
    <mergeCell ref="K10:K11"/>
    <mergeCell ref="B13:K13"/>
    <mergeCell ref="D14:H14"/>
    <mergeCell ref="I14:K14"/>
    <mergeCell ref="I8:I9"/>
    <mergeCell ref="J8:J9"/>
    <mergeCell ref="K8:K9"/>
    <mergeCell ref="A19:A20"/>
    <mergeCell ref="B19:B20"/>
    <mergeCell ref="C19:C20"/>
    <mergeCell ref="D19:D20"/>
    <mergeCell ref="E19:E20"/>
    <mergeCell ref="H15:H16"/>
    <mergeCell ref="I15:I16"/>
    <mergeCell ref="J15:J16"/>
    <mergeCell ref="K15:K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F15:F16"/>
    <mergeCell ref="G15:G16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K17:K18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F23:F24"/>
    <mergeCell ref="G23:G24"/>
    <mergeCell ref="H23:H24"/>
    <mergeCell ref="I23:I24"/>
    <mergeCell ref="J23:J24"/>
    <mergeCell ref="K23:K24"/>
    <mergeCell ref="G21:G22"/>
    <mergeCell ref="H21:H22"/>
    <mergeCell ref="I21:I22"/>
    <mergeCell ref="J21:J22"/>
    <mergeCell ref="K21:K22"/>
    <mergeCell ref="F21:F22"/>
    <mergeCell ref="B26:K26"/>
    <mergeCell ref="D27:H27"/>
    <mergeCell ref="I27:K27"/>
    <mergeCell ref="A28:A29"/>
    <mergeCell ref="B28:B29"/>
    <mergeCell ref="C28:C29"/>
    <mergeCell ref="D28:D29"/>
    <mergeCell ref="F28:F29"/>
    <mergeCell ref="G28:G29"/>
    <mergeCell ref="H28:H29"/>
    <mergeCell ref="H30:H31"/>
    <mergeCell ref="I30:I31"/>
    <mergeCell ref="J30:J31"/>
    <mergeCell ref="K30:K31"/>
    <mergeCell ref="I28:I29"/>
    <mergeCell ref="J28:J29"/>
    <mergeCell ref="K28:K29"/>
    <mergeCell ref="A30:A31"/>
    <mergeCell ref="B30:B31"/>
    <mergeCell ref="C30:C31"/>
    <mergeCell ref="D30:D31"/>
    <mergeCell ref="E30:E31"/>
    <mergeCell ref="F30:F31"/>
    <mergeCell ref="G30:G3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1"/>
  <sheetViews>
    <sheetView showGridLines="0" zoomScale="80" zoomScaleNormal="80" workbookViewId="0">
      <selection activeCell="L1" sqref="L1"/>
    </sheetView>
  </sheetViews>
  <sheetFormatPr defaultRowHeight="15" x14ac:dyDescent="0.25"/>
  <cols>
    <col min="1" max="1" width="47.85546875" style="4" customWidth="1"/>
    <col min="2" max="2" width="51.7109375" style="4" customWidth="1"/>
    <col min="3" max="3" width="32.7109375" style="4" bestFit="1" customWidth="1"/>
    <col min="4" max="5" width="17.85546875" style="4" bestFit="1" customWidth="1"/>
    <col min="6" max="6" width="9.85546875" style="4" bestFit="1" customWidth="1"/>
    <col min="7" max="7" width="5.7109375" style="4" bestFit="1" customWidth="1"/>
    <col min="8" max="8" width="7.85546875" style="4" bestFit="1" customWidth="1"/>
    <col min="9" max="9" width="8.140625" style="4" bestFit="1" customWidth="1"/>
    <col min="10" max="10" width="10.85546875" style="4" bestFit="1" customWidth="1"/>
    <col min="11" max="11" width="13.42578125" style="4" customWidth="1"/>
    <col min="12" max="16384" width="9.140625" style="4"/>
  </cols>
  <sheetData>
    <row r="1" spans="1:11" x14ac:dyDescent="0.25">
      <c r="A1" s="80" t="s">
        <v>114</v>
      </c>
      <c r="J1" s="85" t="s">
        <v>118</v>
      </c>
      <c r="K1" s="86">
        <v>42978</v>
      </c>
    </row>
    <row r="2" spans="1:11" x14ac:dyDescent="0.25">
      <c r="A2" t="s">
        <v>115</v>
      </c>
    </row>
    <row r="4" spans="1:11" ht="15" customHeight="1" x14ac:dyDescent="0.25">
      <c r="A4" s="115" t="s">
        <v>69</v>
      </c>
      <c r="B4" s="186" t="s">
        <v>70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1:11" x14ac:dyDescent="0.25">
      <c r="A5" s="115" t="s">
        <v>71</v>
      </c>
      <c r="B5" s="78" t="s">
        <v>72</v>
      </c>
      <c r="C5" s="78"/>
      <c r="D5" s="82"/>
      <c r="E5" s="83"/>
      <c r="F5" s="83"/>
      <c r="G5" s="83"/>
      <c r="H5" s="84"/>
      <c r="I5" s="181" t="s">
        <v>81</v>
      </c>
      <c r="J5" s="182"/>
      <c r="K5" s="183"/>
    </row>
    <row r="6" spans="1:11" ht="15" customHeight="1" x14ac:dyDescent="0.25">
      <c r="A6" s="164" t="s">
        <v>73</v>
      </c>
      <c r="B6" s="165" t="s">
        <v>74</v>
      </c>
      <c r="C6" s="164" t="s">
        <v>75</v>
      </c>
      <c r="D6" s="164" t="s">
        <v>76</v>
      </c>
      <c r="E6" s="114" t="s">
        <v>77</v>
      </c>
      <c r="F6" s="165" t="s">
        <v>39</v>
      </c>
      <c r="G6" s="165" t="s">
        <v>79</v>
      </c>
      <c r="H6" s="165" t="s">
        <v>80</v>
      </c>
      <c r="I6" s="176" t="s">
        <v>116</v>
      </c>
      <c r="J6" s="179" t="s">
        <v>117</v>
      </c>
      <c r="K6" s="184" t="s">
        <v>134</v>
      </c>
    </row>
    <row r="7" spans="1:11" x14ac:dyDescent="0.25">
      <c r="A7" s="164"/>
      <c r="B7" s="165"/>
      <c r="C7" s="164"/>
      <c r="D7" s="164"/>
      <c r="E7" s="114" t="s">
        <v>78</v>
      </c>
      <c r="F7" s="165"/>
      <c r="G7" s="165"/>
      <c r="H7" s="165"/>
      <c r="I7" s="176"/>
      <c r="J7" s="179"/>
      <c r="K7" s="185"/>
    </row>
    <row r="8" spans="1:11" x14ac:dyDescent="0.25">
      <c r="A8" s="171" t="s">
        <v>82</v>
      </c>
      <c r="B8" s="171" t="s">
        <v>83</v>
      </c>
      <c r="C8" s="172" t="s">
        <v>84</v>
      </c>
      <c r="D8" s="173" t="s">
        <v>85</v>
      </c>
      <c r="E8" s="174" t="s">
        <v>86</v>
      </c>
      <c r="F8" s="175">
        <v>344258</v>
      </c>
      <c r="G8" s="170">
        <v>0.45</v>
      </c>
      <c r="H8" s="170">
        <v>0.55000000000000004</v>
      </c>
      <c r="I8" s="189">
        <v>77561</v>
      </c>
      <c r="J8" s="191">
        <f>I8*6</f>
        <v>465366</v>
      </c>
      <c r="K8" s="193">
        <f>J8/F8</f>
        <v>1.3517942938145229</v>
      </c>
    </row>
    <row r="9" spans="1:11" x14ac:dyDescent="0.25">
      <c r="A9" s="171"/>
      <c r="B9" s="171"/>
      <c r="C9" s="172"/>
      <c r="D9" s="173"/>
      <c r="E9" s="174"/>
      <c r="F9" s="175"/>
      <c r="G9" s="170"/>
      <c r="H9" s="170"/>
      <c r="I9" s="190"/>
      <c r="J9" s="192"/>
      <c r="K9" s="194"/>
    </row>
    <row r="10" spans="1:11" x14ac:dyDescent="0.25">
      <c r="A10" s="171" t="s">
        <v>87</v>
      </c>
      <c r="B10" s="171" t="s">
        <v>88</v>
      </c>
      <c r="C10" s="172" t="s">
        <v>89</v>
      </c>
      <c r="D10" s="173" t="s">
        <v>85</v>
      </c>
      <c r="E10" s="174" t="s">
        <v>90</v>
      </c>
      <c r="F10" s="175">
        <v>1190204</v>
      </c>
      <c r="G10" s="170">
        <v>0.45</v>
      </c>
      <c r="H10" s="170">
        <v>0.55000000000000004</v>
      </c>
      <c r="I10" s="189">
        <v>264058</v>
      </c>
      <c r="J10" s="191">
        <f>I10*6</f>
        <v>1584348</v>
      </c>
      <c r="K10" s="193">
        <f>J10/F10</f>
        <v>1.3311566756623234</v>
      </c>
    </row>
    <row r="11" spans="1:11" x14ac:dyDescent="0.25">
      <c r="A11" s="171"/>
      <c r="B11" s="171"/>
      <c r="C11" s="172"/>
      <c r="D11" s="173"/>
      <c r="E11" s="174"/>
      <c r="F11" s="175"/>
      <c r="G11" s="170"/>
      <c r="H11" s="170"/>
      <c r="I11" s="190"/>
      <c r="J11" s="192"/>
      <c r="K11" s="194"/>
    </row>
    <row r="12" spans="1:11" x14ac:dyDescent="0.25">
      <c r="J12" s="81"/>
    </row>
    <row r="13" spans="1:11" ht="15" customHeight="1" x14ac:dyDescent="0.25">
      <c r="A13" s="115" t="s">
        <v>91</v>
      </c>
      <c r="B13" s="186" t="s">
        <v>92</v>
      </c>
      <c r="C13" s="187"/>
      <c r="D13" s="187"/>
      <c r="E13" s="187"/>
      <c r="F13" s="187"/>
      <c r="G13" s="187"/>
      <c r="H13" s="187"/>
      <c r="I13" s="187"/>
      <c r="J13" s="187"/>
      <c r="K13" s="188"/>
    </row>
    <row r="14" spans="1:11" x14ac:dyDescent="0.25">
      <c r="A14" s="115" t="s">
        <v>71</v>
      </c>
      <c r="B14" s="78" t="s">
        <v>93</v>
      </c>
      <c r="C14" s="78"/>
      <c r="D14" s="180"/>
      <c r="E14" s="180"/>
      <c r="F14" s="180"/>
      <c r="G14" s="180"/>
      <c r="H14" s="180"/>
      <c r="I14" s="181" t="s">
        <v>81</v>
      </c>
      <c r="J14" s="182"/>
      <c r="K14" s="183"/>
    </row>
    <row r="15" spans="1:11" ht="15" customHeight="1" x14ac:dyDescent="0.25">
      <c r="A15" s="164" t="s">
        <v>73</v>
      </c>
      <c r="B15" s="165" t="s">
        <v>74</v>
      </c>
      <c r="C15" s="164" t="s">
        <v>75</v>
      </c>
      <c r="D15" s="166" t="s">
        <v>76</v>
      </c>
      <c r="E15" s="114" t="s">
        <v>77</v>
      </c>
      <c r="F15" s="168" t="s">
        <v>39</v>
      </c>
      <c r="G15" s="168" t="s">
        <v>79</v>
      </c>
      <c r="H15" s="168" t="s">
        <v>80</v>
      </c>
      <c r="I15" s="176" t="s">
        <v>116</v>
      </c>
      <c r="J15" s="179" t="s">
        <v>117</v>
      </c>
      <c r="K15" s="184" t="s">
        <v>134</v>
      </c>
    </row>
    <row r="16" spans="1:11" x14ac:dyDescent="0.25">
      <c r="A16" s="164"/>
      <c r="B16" s="165"/>
      <c r="C16" s="164"/>
      <c r="D16" s="167"/>
      <c r="E16" s="114" t="s">
        <v>78</v>
      </c>
      <c r="F16" s="169"/>
      <c r="G16" s="169"/>
      <c r="H16" s="169"/>
      <c r="I16" s="176"/>
      <c r="J16" s="179"/>
      <c r="K16" s="185"/>
    </row>
    <row r="17" spans="1:12" x14ac:dyDescent="0.25">
      <c r="A17" s="171" t="s">
        <v>94</v>
      </c>
      <c r="B17" s="171" t="s">
        <v>95</v>
      </c>
      <c r="C17" s="172" t="s">
        <v>96</v>
      </c>
      <c r="D17" s="173" t="s">
        <v>85</v>
      </c>
      <c r="E17" s="174" t="s">
        <v>97</v>
      </c>
      <c r="F17" s="175">
        <v>256530</v>
      </c>
      <c r="G17" s="170">
        <v>0.45</v>
      </c>
      <c r="H17" s="170">
        <v>0.55000000000000004</v>
      </c>
      <c r="I17" s="191">
        <v>356</v>
      </c>
      <c r="J17" s="191">
        <f>I17*6</f>
        <v>2136</v>
      </c>
      <c r="K17" s="195">
        <f>J17/F17</f>
        <v>8.3265115191205712E-3</v>
      </c>
    </row>
    <row r="18" spans="1:12" x14ac:dyDescent="0.25">
      <c r="A18" s="171"/>
      <c r="B18" s="171"/>
      <c r="C18" s="172"/>
      <c r="D18" s="173"/>
      <c r="E18" s="174"/>
      <c r="F18" s="175"/>
      <c r="G18" s="170"/>
      <c r="H18" s="170"/>
      <c r="I18" s="192"/>
      <c r="J18" s="192"/>
      <c r="K18" s="196"/>
    </row>
    <row r="19" spans="1:12" x14ac:dyDescent="0.25">
      <c r="A19" s="171" t="s">
        <v>98</v>
      </c>
      <c r="B19" s="171" t="s">
        <v>99</v>
      </c>
      <c r="C19" s="172" t="s">
        <v>96</v>
      </c>
      <c r="D19" s="173" t="s">
        <v>85</v>
      </c>
      <c r="E19" s="174" t="s">
        <v>100</v>
      </c>
      <c r="F19" s="175">
        <v>12234</v>
      </c>
      <c r="G19" s="170">
        <v>0.45</v>
      </c>
      <c r="H19" s="170">
        <v>0.55000000000000004</v>
      </c>
      <c r="I19" s="191">
        <v>5349</v>
      </c>
      <c r="J19" s="191">
        <f>I19*6</f>
        <v>32094</v>
      </c>
      <c r="K19" s="193">
        <f t="shared" ref="K19" si="0">J19/F19</f>
        <v>2.6233447768513978</v>
      </c>
    </row>
    <row r="20" spans="1:12" x14ac:dyDescent="0.25">
      <c r="A20" s="171"/>
      <c r="B20" s="171"/>
      <c r="C20" s="172"/>
      <c r="D20" s="173"/>
      <c r="E20" s="174"/>
      <c r="F20" s="175"/>
      <c r="G20" s="170"/>
      <c r="H20" s="170"/>
      <c r="I20" s="192"/>
      <c r="J20" s="192"/>
      <c r="K20" s="194"/>
    </row>
    <row r="21" spans="1:12" x14ac:dyDescent="0.25">
      <c r="A21" s="171" t="s">
        <v>101</v>
      </c>
      <c r="B21" s="171" t="s">
        <v>102</v>
      </c>
      <c r="C21" s="172" t="s">
        <v>89</v>
      </c>
      <c r="D21" s="173" t="s">
        <v>85</v>
      </c>
      <c r="E21" s="174" t="s">
        <v>103</v>
      </c>
      <c r="F21" s="175">
        <v>382978</v>
      </c>
      <c r="G21" s="170">
        <v>0.45</v>
      </c>
      <c r="H21" s="170">
        <v>0.55000000000000004</v>
      </c>
      <c r="I21" s="191">
        <v>28292</v>
      </c>
      <c r="J21" s="191">
        <f>I21*6</f>
        <v>169752</v>
      </c>
      <c r="K21" s="195">
        <f t="shared" ref="K21" si="1">J21/F21</f>
        <v>0.44324217056854442</v>
      </c>
    </row>
    <row r="22" spans="1:12" x14ac:dyDescent="0.25">
      <c r="A22" s="171"/>
      <c r="B22" s="171"/>
      <c r="C22" s="172"/>
      <c r="D22" s="173"/>
      <c r="E22" s="174"/>
      <c r="F22" s="175"/>
      <c r="G22" s="170"/>
      <c r="H22" s="170"/>
      <c r="I22" s="192"/>
      <c r="J22" s="192"/>
      <c r="K22" s="196"/>
    </row>
    <row r="23" spans="1:12" x14ac:dyDescent="0.25">
      <c r="A23" s="171" t="s">
        <v>104</v>
      </c>
      <c r="B23" s="171" t="s">
        <v>105</v>
      </c>
      <c r="C23" s="172" t="s">
        <v>89</v>
      </c>
      <c r="D23" s="173" t="s">
        <v>85</v>
      </c>
      <c r="E23" s="174" t="s">
        <v>106</v>
      </c>
      <c r="F23" s="175">
        <v>100246</v>
      </c>
      <c r="G23" s="170">
        <v>0.45</v>
      </c>
      <c r="H23" s="170">
        <v>0.55000000000000004</v>
      </c>
      <c r="I23" s="191">
        <v>2882</v>
      </c>
      <c r="J23" s="191">
        <f>I23*6</f>
        <v>17292</v>
      </c>
      <c r="K23" s="195">
        <f t="shared" ref="K23" si="2">J23/F23</f>
        <v>0.17249566067474015</v>
      </c>
    </row>
    <row r="24" spans="1:12" x14ac:dyDescent="0.25">
      <c r="A24" s="171"/>
      <c r="B24" s="171"/>
      <c r="C24" s="172"/>
      <c r="D24" s="173"/>
      <c r="E24" s="174"/>
      <c r="F24" s="175"/>
      <c r="G24" s="170"/>
      <c r="H24" s="170"/>
      <c r="I24" s="192"/>
      <c r="J24" s="192"/>
      <c r="K24" s="196"/>
    </row>
    <row r="25" spans="1:12" x14ac:dyDescent="0.25">
      <c r="J25" s="81"/>
    </row>
    <row r="26" spans="1:12" ht="15" customHeight="1" x14ac:dyDescent="0.25">
      <c r="A26" s="115" t="s">
        <v>107</v>
      </c>
      <c r="B26" s="186" t="s">
        <v>108</v>
      </c>
      <c r="C26" s="187"/>
      <c r="D26" s="187"/>
      <c r="E26" s="187"/>
      <c r="F26" s="187"/>
      <c r="G26" s="187"/>
      <c r="H26" s="187"/>
      <c r="I26" s="187"/>
      <c r="J26" s="187"/>
      <c r="K26" s="188"/>
    </row>
    <row r="27" spans="1:12" x14ac:dyDescent="0.25">
      <c r="A27" s="115" t="s">
        <v>71</v>
      </c>
      <c r="B27" s="78" t="s">
        <v>109</v>
      </c>
      <c r="C27" s="78"/>
      <c r="D27" s="180"/>
      <c r="E27" s="180"/>
      <c r="F27" s="180"/>
      <c r="G27" s="180"/>
      <c r="H27" s="180"/>
      <c r="I27" s="181" t="s">
        <v>81</v>
      </c>
      <c r="J27" s="182"/>
      <c r="K27" s="183"/>
    </row>
    <row r="28" spans="1:12" ht="15" customHeight="1" x14ac:dyDescent="0.25">
      <c r="A28" s="164" t="s">
        <v>73</v>
      </c>
      <c r="B28" s="165" t="s">
        <v>74</v>
      </c>
      <c r="C28" s="164" t="s">
        <v>75</v>
      </c>
      <c r="D28" s="164" t="s">
        <v>76</v>
      </c>
      <c r="E28" s="114" t="s">
        <v>77</v>
      </c>
      <c r="F28" s="165" t="s">
        <v>39</v>
      </c>
      <c r="G28" s="165" t="s">
        <v>79</v>
      </c>
      <c r="H28" s="165" t="s">
        <v>80</v>
      </c>
      <c r="I28" s="176" t="s">
        <v>116</v>
      </c>
      <c r="J28" s="179" t="s">
        <v>117</v>
      </c>
      <c r="K28" s="184" t="s">
        <v>134</v>
      </c>
    </row>
    <row r="29" spans="1:12" x14ac:dyDescent="0.25">
      <c r="A29" s="164"/>
      <c r="B29" s="165"/>
      <c r="C29" s="164"/>
      <c r="D29" s="164"/>
      <c r="E29" s="114" t="s">
        <v>78</v>
      </c>
      <c r="F29" s="165"/>
      <c r="G29" s="165"/>
      <c r="H29" s="165"/>
      <c r="I29" s="176"/>
      <c r="J29" s="179"/>
      <c r="K29" s="185"/>
    </row>
    <row r="30" spans="1:12" x14ac:dyDescent="0.25">
      <c r="A30" s="177" t="s">
        <v>110</v>
      </c>
      <c r="B30" s="171" t="s">
        <v>111</v>
      </c>
      <c r="C30" s="172" t="s">
        <v>89</v>
      </c>
      <c r="D30" s="173" t="s">
        <v>112</v>
      </c>
      <c r="E30" s="174" t="s">
        <v>113</v>
      </c>
      <c r="F30" s="175">
        <v>41534</v>
      </c>
      <c r="G30" s="170">
        <v>0.45</v>
      </c>
      <c r="H30" s="170">
        <v>0.55000000000000004</v>
      </c>
      <c r="I30" s="191">
        <v>1509</v>
      </c>
      <c r="J30" s="191">
        <f>I30*6</f>
        <v>9054</v>
      </c>
      <c r="K30" s="195">
        <f t="shared" ref="K30" si="3">J30/F30</f>
        <v>0.21799008041604467</v>
      </c>
    </row>
    <row r="31" spans="1:12" x14ac:dyDescent="0.25">
      <c r="A31" s="178"/>
      <c r="B31" s="171"/>
      <c r="C31" s="172"/>
      <c r="D31" s="173"/>
      <c r="E31" s="174"/>
      <c r="F31" s="175"/>
      <c r="G31" s="170"/>
      <c r="H31" s="170"/>
      <c r="I31" s="192"/>
      <c r="J31" s="192"/>
      <c r="K31" s="196"/>
      <c r="L31" s="41"/>
    </row>
  </sheetData>
  <mergeCells count="115">
    <mergeCell ref="H30:H31"/>
    <mergeCell ref="I30:I31"/>
    <mergeCell ref="J30:J31"/>
    <mergeCell ref="K30:K31"/>
    <mergeCell ref="I28:I29"/>
    <mergeCell ref="J28:J29"/>
    <mergeCell ref="K28:K29"/>
    <mergeCell ref="A30:A31"/>
    <mergeCell ref="B30:B31"/>
    <mergeCell ref="C30:C31"/>
    <mergeCell ref="D30:D31"/>
    <mergeCell ref="E30:E31"/>
    <mergeCell ref="F30:F31"/>
    <mergeCell ref="G30:G31"/>
    <mergeCell ref="B26:K26"/>
    <mergeCell ref="D27:H27"/>
    <mergeCell ref="I27:K27"/>
    <mergeCell ref="A28:A29"/>
    <mergeCell ref="B28:B29"/>
    <mergeCell ref="C28:C29"/>
    <mergeCell ref="D28:D29"/>
    <mergeCell ref="F28:F29"/>
    <mergeCell ref="G28:G29"/>
    <mergeCell ref="H28:H29"/>
    <mergeCell ref="F23:F24"/>
    <mergeCell ref="G23:G24"/>
    <mergeCell ref="H23:H24"/>
    <mergeCell ref="I23:I24"/>
    <mergeCell ref="J23:J24"/>
    <mergeCell ref="K23:K24"/>
    <mergeCell ref="G21:G22"/>
    <mergeCell ref="H21:H22"/>
    <mergeCell ref="I21:I22"/>
    <mergeCell ref="J21:J22"/>
    <mergeCell ref="K21:K22"/>
    <mergeCell ref="F21:F22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D15:D16"/>
    <mergeCell ref="F15:F16"/>
    <mergeCell ref="G15:G16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K17:K18"/>
    <mergeCell ref="B13:K13"/>
    <mergeCell ref="D14:H14"/>
    <mergeCell ref="I14:K14"/>
    <mergeCell ref="I8:I9"/>
    <mergeCell ref="J8:J9"/>
    <mergeCell ref="K8:K9"/>
    <mergeCell ref="A19:A20"/>
    <mergeCell ref="B19:B20"/>
    <mergeCell ref="C19:C20"/>
    <mergeCell ref="D19:D20"/>
    <mergeCell ref="E19:E20"/>
    <mergeCell ref="H15:H16"/>
    <mergeCell ref="I15:I16"/>
    <mergeCell ref="J15:J16"/>
    <mergeCell ref="K15:K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A10:A11"/>
    <mergeCell ref="B10:B11"/>
    <mergeCell ref="C10:C11"/>
    <mergeCell ref="D10:D11"/>
    <mergeCell ref="E10:E11"/>
    <mergeCell ref="F10:F11"/>
    <mergeCell ref="G10:G11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H10:H11"/>
    <mergeCell ref="I10:I11"/>
    <mergeCell ref="J10:J11"/>
    <mergeCell ref="K10:K11"/>
    <mergeCell ref="B4:K4"/>
    <mergeCell ref="I5:K5"/>
    <mergeCell ref="A6:A7"/>
    <mergeCell ref="B6:B7"/>
    <mergeCell ref="C6:C7"/>
    <mergeCell ref="D6:D7"/>
    <mergeCell ref="F6:F7"/>
    <mergeCell ref="G6:G7"/>
    <mergeCell ref="H6:H7"/>
    <mergeCell ref="I6:I7"/>
  </mergeCells>
  <printOptions horizontalCentered="1"/>
  <pageMargins left="0.25" right="0.25" top="0.25" bottom="0.25" header="0.3" footer="0.3"/>
  <pageSetup paperSize="9" scale="6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1"/>
  <sheetViews>
    <sheetView showGridLines="0" zoomScale="80" zoomScaleNormal="80" workbookViewId="0">
      <selection activeCell="I3" sqref="I3"/>
    </sheetView>
  </sheetViews>
  <sheetFormatPr defaultRowHeight="15" x14ac:dyDescent="0.25"/>
  <cols>
    <col min="1" max="1" width="47.85546875" style="4" customWidth="1"/>
    <col min="2" max="2" width="51.7109375" style="4" customWidth="1"/>
    <col min="3" max="3" width="32.7109375" style="4" bestFit="1" customWidth="1"/>
    <col min="4" max="5" width="17.85546875" style="4" bestFit="1" customWidth="1"/>
    <col min="6" max="6" width="9.85546875" style="4" bestFit="1" customWidth="1"/>
    <col min="7" max="7" width="5.7109375" style="4" bestFit="1" customWidth="1"/>
    <col min="8" max="8" width="7.85546875" style="4" bestFit="1" customWidth="1"/>
    <col min="9" max="9" width="8.140625" style="4" bestFit="1" customWidth="1"/>
    <col min="10" max="10" width="10.85546875" style="4" bestFit="1" customWidth="1"/>
    <col min="11" max="11" width="13.42578125" style="4" customWidth="1"/>
    <col min="12" max="16384" width="9.140625" style="4"/>
  </cols>
  <sheetData>
    <row r="1" spans="1:11" x14ac:dyDescent="0.25">
      <c r="A1" s="80" t="s">
        <v>114</v>
      </c>
      <c r="J1" s="85" t="s">
        <v>118</v>
      </c>
      <c r="K1" s="86">
        <v>43008</v>
      </c>
    </row>
    <row r="2" spans="1:11" x14ac:dyDescent="0.25">
      <c r="A2" t="s">
        <v>115</v>
      </c>
    </row>
    <row r="4" spans="1:11" ht="15" customHeight="1" x14ac:dyDescent="0.25">
      <c r="A4" s="125" t="s">
        <v>69</v>
      </c>
      <c r="B4" s="186" t="s">
        <v>70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1:11" x14ac:dyDescent="0.25">
      <c r="A5" s="125" t="s">
        <v>71</v>
      </c>
      <c r="B5" s="78" t="s">
        <v>72</v>
      </c>
      <c r="C5" s="78"/>
      <c r="D5" s="82"/>
      <c r="E5" s="83"/>
      <c r="F5" s="83"/>
      <c r="G5" s="83"/>
      <c r="H5" s="84"/>
      <c r="I5" s="181" t="s">
        <v>81</v>
      </c>
      <c r="J5" s="182"/>
      <c r="K5" s="183"/>
    </row>
    <row r="6" spans="1:11" ht="15" customHeight="1" x14ac:dyDescent="0.25">
      <c r="A6" s="164" t="s">
        <v>73</v>
      </c>
      <c r="B6" s="165" t="s">
        <v>74</v>
      </c>
      <c r="C6" s="164" t="s">
        <v>75</v>
      </c>
      <c r="D6" s="164" t="s">
        <v>76</v>
      </c>
      <c r="E6" s="126" t="s">
        <v>77</v>
      </c>
      <c r="F6" s="165" t="s">
        <v>39</v>
      </c>
      <c r="G6" s="165" t="s">
        <v>79</v>
      </c>
      <c r="H6" s="165" t="s">
        <v>80</v>
      </c>
      <c r="I6" s="176" t="s">
        <v>116</v>
      </c>
      <c r="J6" s="179" t="s">
        <v>117</v>
      </c>
      <c r="K6" s="184" t="s">
        <v>134</v>
      </c>
    </row>
    <row r="7" spans="1:11" x14ac:dyDescent="0.25">
      <c r="A7" s="164"/>
      <c r="B7" s="165"/>
      <c r="C7" s="164"/>
      <c r="D7" s="164"/>
      <c r="E7" s="126" t="s">
        <v>78</v>
      </c>
      <c r="F7" s="165"/>
      <c r="G7" s="165"/>
      <c r="H7" s="165"/>
      <c r="I7" s="176"/>
      <c r="J7" s="179"/>
      <c r="K7" s="185"/>
    </row>
    <row r="8" spans="1:11" x14ac:dyDescent="0.25">
      <c r="A8" s="171" t="s">
        <v>82</v>
      </c>
      <c r="B8" s="171" t="s">
        <v>83</v>
      </c>
      <c r="C8" s="172" t="s">
        <v>84</v>
      </c>
      <c r="D8" s="173" t="s">
        <v>85</v>
      </c>
      <c r="E8" s="174" t="s">
        <v>86</v>
      </c>
      <c r="F8" s="175">
        <v>344258</v>
      </c>
      <c r="G8" s="170">
        <v>0.45</v>
      </c>
      <c r="H8" s="170">
        <v>0.55000000000000004</v>
      </c>
      <c r="I8" s="189">
        <v>98067</v>
      </c>
      <c r="J8" s="191">
        <f>I8*6</f>
        <v>588402</v>
      </c>
      <c r="K8" s="193">
        <f>J8/F8</f>
        <v>1.7091890384537178</v>
      </c>
    </row>
    <row r="9" spans="1:11" x14ac:dyDescent="0.25">
      <c r="A9" s="171"/>
      <c r="B9" s="171"/>
      <c r="C9" s="172"/>
      <c r="D9" s="173"/>
      <c r="E9" s="174"/>
      <c r="F9" s="175"/>
      <c r="G9" s="170"/>
      <c r="H9" s="170"/>
      <c r="I9" s="190"/>
      <c r="J9" s="192"/>
      <c r="K9" s="194"/>
    </row>
    <row r="10" spans="1:11" x14ac:dyDescent="0.25">
      <c r="A10" s="171" t="s">
        <v>87</v>
      </c>
      <c r="B10" s="171" t="s">
        <v>88</v>
      </c>
      <c r="C10" s="172" t="s">
        <v>89</v>
      </c>
      <c r="D10" s="173" t="s">
        <v>85</v>
      </c>
      <c r="E10" s="174" t="s">
        <v>90</v>
      </c>
      <c r="F10" s="175">
        <v>1190204</v>
      </c>
      <c r="G10" s="170">
        <v>0.45</v>
      </c>
      <c r="H10" s="170">
        <v>0.55000000000000004</v>
      </c>
      <c r="I10" s="189">
        <v>270515</v>
      </c>
      <c r="J10" s="191">
        <f>I10*6</f>
        <v>1623090</v>
      </c>
      <c r="K10" s="193">
        <f>J10/F10</f>
        <v>1.3637073980594923</v>
      </c>
    </row>
    <row r="11" spans="1:11" x14ac:dyDescent="0.25">
      <c r="A11" s="171"/>
      <c r="B11" s="171"/>
      <c r="C11" s="172"/>
      <c r="D11" s="173"/>
      <c r="E11" s="174"/>
      <c r="F11" s="175"/>
      <c r="G11" s="170"/>
      <c r="H11" s="170"/>
      <c r="I11" s="190"/>
      <c r="J11" s="192"/>
      <c r="K11" s="194"/>
    </row>
    <row r="12" spans="1:11" x14ac:dyDescent="0.25">
      <c r="J12" s="81"/>
    </row>
    <row r="13" spans="1:11" ht="15" customHeight="1" x14ac:dyDescent="0.25">
      <c r="A13" s="125" t="s">
        <v>91</v>
      </c>
      <c r="B13" s="186" t="s">
        <v>92</v>
      </c>
      <c r="C13" s="187"/>
      <c r="D13" s="187"/>
      <c r="E13" s="187"/>
      <c r="F13" s="187"/>
      <c r="G13" s="187"/>
      <c r="H13" s="187"/>
      <c r="I13" s="187"/>
      <c r="J13" s="187"/>
      <c r="K13" s="188"/>
    </row>
    <row r="14" spans="1:11" x14ac:dyDescent="0.25">
      <c r="A14" s="125" t="s">
        <v>71</v>
      </c>
      <c r="B14" s="78" t="s">
        <v>93</v>
      </c>
      <c r="C14" s="78"/>
      <c r="D14" s="180"/>
      <c r="E14" s="180"/>
      <c r="F14" s="180"/>
      <c r="G14" s="180"/>
      <c r="H14" s="180"/>
      <c r="I14" s="181" t="s">
        <v>81</v>
      </c>
      <c r="J14" s="182"/>
      <c r="K14" s="183"/>
    </row>
    <row r="15" spans="1:11" ht="15" customHeight="1" x14ac:dyDescent="0.25">
      <c r="A15" s="164" t="s">
        <v>73</v>
      </c>
      <c r="B15" s="165" t="s">
        <v>74</v>
      </c>
      <c r="C15" s="164" t="s">
        <v>75</v>
      </c>
      <c r="D15" s="166" t="s">
        <v>76</v>
      </c>
      <c r="E15" s="126" t="s">
        <v>77</v>
      </c>
      <c r="F15" s="168" t="s">
        <v>39</v>
      </c>
      <c r="G15" s="168" t="s">
        <v>79</v>
      </c>
      <c r="H15" s="168" t="s">
        <v>80</v>
      </c>
      <c r="I15" s="176" t="s">
        <v>116</v>
      </c>
      <c r="J15" s="179" t="s">
        <v>117</v>
      </c>
      <c r="K15" s="184" t="s">
        <v>134</v>
      </c>
    </row>
    <row r="16" spans="1:11" x14ac:dyDescent="0.25">
      <c r="A16" s="164"/>
      <c r="B16" s="165"/>
      <c r="C16" s="164"/>
      <c r="D16" s="167"/>
      <c r="E16" s="126" t="s">
        <v>78</v>
      </c>
      <c r="F16" s="169"/>
      <c r="G16" s="169"/>
      <c r="H16" s="169"/>
      <c r="I16" s="176"/>
      <c r="J16" s="179"/>
      <c r="K16" s="185"/>
    </row>
    <row r="17" spans="1:12" x14ac:dyDescent="0.25">
      <c r="A17" s="171" t="s">
        <v>94</v>
      </c>
      <c r="B17" s="171" t="s">
        <v>95</v>
      </c>
      <c r="C17" s="172" t="s">
        <v>96</v>
      </c>
      <c r="D17" s="173" t="s">
        <v>85</v>
      </c>
      <c r="E17" s="174" t="s">
        <v>97</v>
      </c>
      <c r="F17" s="175">
        <v>256530</v>
      </c>
      <c r="G17" s="170">
        <v>0.45</v>
      </c>
      <c r="H17" s="170">
        <v>0.55000000000000004</v>
      </c>
      <c r="I17" s="191">
        <v>18869</v>
      </c>
      <c r="J17" s="191">
        <f>I17*6</f>
        <v>113214</v>
      </c>
      <c r="K17" s="195">
        <f>J17/F17</f>
        <v>0.44132849959069115</v>
      </c>
      <c r="L17" s="4" t="s">
        <v>140</v>
      </c>
    </row>
    <row r="18" spans="1:12" x14ac:dyDescent="0.25">
      <c r="A18" s="171"/>
      <c r="B18" s="171"/>
      <c r="C18" s="172"/>
      <c r="D18" s="173"/>
      <c r="E18" s="174"/>
      <c r="F18" s="175"/>
      <c r="G18" s="170"/>
      <c r="H18" s="170"/>
      <c r="I18" s="192"/>
      <c r="J18" s="192"/>
      <c r="K18" s="196"/>
      <c r="L18" s="4" t="s">
        <v>141</v>
      </c>
    </row>
    <row r="19" spans="1:12" x14ac:dyDescent="0.25">
      <c r="A19" s="171" t="s">
        <v>98</v>
      </c>
      <c r="B19" s="171" t="s">
        <v>99</v>
      </c>
      <c r="C19" s="172" t="s">
        <v>96</v>
      </c>
      <c r="D19" s="173" t="s">
        <v>85</v>
      </c>
      <c r="E19" s="174" t="s">
        <v>100</v>
      </c>
      <c r="F19" s="175">
        <v>12234</v>
      </c>
      <c r="G19" s="170">
        <v>0.45</v>
      </c>
      <c r="H19" s="170">
        <v>0.55000000000000004</v>
      </c>
      <c r="I19" s="191">
        <v>5349</v>
      </c>
      <c r="J19" s="191">
        <f>I19*6</f>
        <v>32094</v>
      </c>
      <c r="K19" s="193">
        <f t="shared" ref="K19" si="0">J19/F19</f>
        <v>2.6233447768513978</v>
      </c>
    </row>
    <row r="20" spans="1:12" x14ac:dyDescent="0.25">
      <c r="A20" s="171"/>
      <c r="B20" s="171"/>
      <c r="C20" s="172"/>
      <c r="D20" s="173"/>
      <c r="E20" s="174"/>
      <c r="F20" s="175"/>
      <c r="G20" s="170"/>
      <c r="H20" s="170"/>
      <c r="I20" s="192"/>
      <c r="J20" s="192"/>
      <c r="K20" s="194"/>
    </row>
    <row r="21" spans="1:12" x14ac:dyDescent="0.25">
      <c r="A21" s="171" t="s">
        <v>101</v>
      </c>
      <c r="B21" s="171" t="s">
        <v>102</v>
      </c>
      <c r="C21" s="172" t="s">
        <v>89</v>
      </c>
      <c r="D21" s="173" t="s">
        <v>85</v>
      </c>
      <c r="E21" s="174" t="s">
        <v>103</v>
      </c>
      <c r="F21" s="175">
        <v>382978</v>
      </c>
      <c r="G21" s="170">
        <v>0.45</v>
      </c>
      <c r="H21" s="170">
        <v>0.55000000000000004</v>
      </c>
      <c r="I21" s="191">
        <v>28744</v>
      </c>
      <c r="J21" s="191">
        <f>I21*6</f>
        <v>172464</v>
      </c>
      <c r="K21" s="195">
        <f t="shared" ref="K21" si="1">J21/F21</f>
        <v>0.45032351727775488</v>
      </c>
    </row>
    <row r="22" spans="1:12" x14ac:dyDescent="0.25">
      <c r="A22" s="171"/>
      <c r="B22" s="171"/>
      <c r="C22" s="172"/>
      <c r="D22" s="173"/>
      <c r="E22" s="174"/>
      <c r="F22" s="175"/>
      <c r="G22" s="170"/>
      <c r="H22" s="170"/>
      <c r="I22" s="192"/>
      <c r="J22" s="192"/>
      <c r="K22" s="196"/>
    </row>
    <row r="23" spans="1:12" x14ac:dyDescent="0.25">
      <c r="A23" s="171" t="s">
        <v>104</v>
      </c>
      <c r="B23" s="171" t="s">
        <v>105</v>
      </c>
      <c r="C23" s="172" t="s">
        <v>89</v>
      </c>
      <c r="D23" s="173" t="s">
        <v>85</v>
      </c>
      <c r="E23" s="174" t="s">
        <v>106</v>
      </c>
      <c r="F23" s="175">
        <v>100246</v>
      </c>
      <c r="G23" s="170">
        <v>0.45</v>
      </c>
      <c r="H23" s="170">
        <v>0.55000000000000004</v>
      </c>
      <c r="I23" s="191">
        <v>2882</v>
      </c>
      <c r="J23" s="191">
        <f>I23*6</f>
        <v>17292</v>
      </c>
      <c r="K23" s="195">
        <f t="shared" ref="K23" si="2">J23/F23</f>
        <v>0.17249566067474015</v>
      </c>
    </row>
    <row r="24" spans="1:12" x14ac:dyDescent="0.25">
      <c r="A24" s="171"/>
      <c r="B24" s="171"/>
      <c r="C24" s="172"/>
      <c r="D24" s="173"/>
      <c r="E24" s="174"/>
      <c r="F24" s="175"/>
      <c r="G24" s="170"/>
      <c r="H24" s="170"/>
      <c r="I24" s="192"/>
      <c r="J24" s="192"/>
      <c r="K24" s="196"/>
    </row>
    <row r="25" spans="1:12" x14ac:dyDescent="0.25">
      <c r="J25" s="81"/>
    </row>
    <row r="26" spans="1:12" ht="15" customHeight="1" x14ac:dyDescent="0.25">
      <c r="A26" s="125" t="s">
        <v>107</v>
      </c>
      <c r="B26" s="186" t="s">
        <v>108</v>
      </c>
      <c r="C26" s="187"/>
      <c r="D26" s="187"/>
      <c r="E26" s="187"/>
      <c r="F26" s="187"/>
      <c r="G26" s="187"/>
      <c r="H26" s="187"/>
      <c r="I26" s="187"/>
      <c r="J26" s="187"/>
      <c r="K26" s="188"/>
    </row>
    <row r="27" spans="1:12" x14ac:dyDescent="0.25">
      <c r="A27" s="125" t="s">
        <v>71</v>
      </c>
      <c r="B27" s="78" t="s">
        <v>109</v>
      </c>
      <c r="C27" s="78"/>
      <c r="D27" s="180"/>
      <c r="E27" s="180"/>
      <c r="F27" s="180"/>
      <c r="G27" s="180"/>
      <c r="H27" s="180"/>
      <c r="I27" s="181" t="s">
        <v>81</v>
      </c>
      <c r="J27" s="182"/>
      <c r="K27" s="183"/>
    </row>
    <row r="28" spans="1:12" ht="15" customHeight="1" x14ac:dyDescent="0.25">
      <c r="A28" s="164" t="s">
        <v>73</v>
      </c>
      <c r="B28" s="165" t="s">
        <v>74</v>
      </c>
      <c r="C28" s="164" t="s">
        <v>75</v>
      </c>
      <c r="D28" s="164" t="s">
        <v>76</v>
      </c>
      <c r="E28" s="126" t="s">
        <v>77</v>
      </c>
      <c r="F28" s="165" t="s">
        <v>39</v>
      </c>
      <c r="G28" s="165" t="s">
        <v>79</v>
      </c>
      <c r="H28" s="165" t="s">
        <v>80</v>
      </c>
      <c r="I28" s="176" t="s">
        <v>116</v>
      </c>
      <c r="J28" s="179" t="s">
        <v>117</v>
      </c>
      <c r="K28" s="184" t="s">
        <v>134</v>
      </c>
    </row>
    <row r="29" spans="1:12" x14ac:dyDescent="0.25">
      <c r="A29" s="164"/>
      <c r="B29" s="165"/>
      <c r="C29" s="164"/>
      <c r="D29" s="164"/>
      <c r="E29" s="126" t="s">
        <v>78</v>
      </c>
      <c r="F29" s="165"/>
      <c r="G29" s="165"/>
      <c r="H29" s="165"/>
      <c r="I29" s="176"/>
      <c r="J29" s="179"/>
      <c r="K29" s="185"/>
    </row>
    <row r="30" spans="1:12" x14ac:dyDescent="0.25">
      <c r="A30" s="177" t="s">
        <v>110</v>
      </c>
      <c r="B30" s="171" t="s">
        <v>142</v>
      </c>
      <c r="C30" s="172" t="s">
        <v>89</v>
      </c>
      <c r="D30" s="173" t="s">
        <v>112</v>
      </c>
      <c r="E30" s="174" t="s">
        <v>113</v>
      </c>
      <c r="F30" s="175">
        <v>41534</v>
      </c>
      <c r="G30" s="170">
        <v>0.45</v>
      </c>
      <c r="H30" s="170">
        <v>0.55000000000000004</v>
      </c>
      <c r="I30" s="191">
        <v>1509</v>
      </c>
      <c r="J30" s="191">
        <f>I30*6</f>
        <v>9054</v>
      </c>
      <c r="K30" s="195">
        <f t="shared" ref="K30" si="3">J30/F30</f>
        <v>0.21799008041604467</v>
      </c>
    </row>
    <row r="31" spans="1:12" x14ac:dyDescent="0.25">
      <c r="A31" s="178"/>
      <c r="B31" s="171"/>
      <c r="C31" s="172"/>
      <c r="D31" s="173"/>
      <c r="E31" s="174"/>
      <c r="F31" s="175"/>
      <c r="G31" s="170"/>
      <c r="H31" s="170"/>
      <c r="I31" s="192"/>
      <c r="J31" s="192"/>
      <c r="K31" s="196"/>
      <c r="L31" s="41"/>
    </row>
  </sheetData>
  <mergeCells count="115">
    <mergeCell ref="B4:K4"/>
    <mergeCell ref="I5:K5"/>
    <mergeCell ref="A6:A7"/>
    <mergeCell ref="B6:B7"/>
    <mergeCell ref="C6:C7"/>
    <mergeCell ref="D6:D7"/>
    <mergeCell ref="F6:F7"/>
    <mergeCell ref="G6:G7"/>
    <mergeCell ref="H6:H7"/>
    <mergeCell ref="I6:I7"/>
    <mergeCell ref="A10:A11"/>
    <mergeCell ref="B10:B11"/>
    <mergeCell ref="C10:C11"/>
    <mergeCell ref="D10:D11"/>
    <mergeCell ref="E10:E11"/>
    <mergeCell ref="F10:F11"/>
    <mergeCell ref="G10:G11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H10:H11"/>
    <mergeCell ref="I10:I11"/>
    <mergeCell ref="J10:J11"/>
    <mergeCell ref="K10:K11"/>
    <mergeCell ref="B13:K13"/>
    <mergeCell ref="D14:H14"/>
    <mergeCell ref="I14:K14"/>
    <mergeCell ref="I8:I9"/>
    <mergeCell ref="J8:J9"/>
    <mergeCell ref="K8:K9"/>
    <mergeCell ref="A19:A20"/>
    <mergeCell ref="B19:B20"/>
    <mergeCell ref="C19:C20"/>
    <mergeCell ref="D19:D20"/>
    <mergeCell ref="E19:E20"/>
    <mergeCell ref="H15:H16"/>
    <mergeCell ref="I15:I16"/>
    <mergeCell ref="J15:J16"/>
    <mergeCell ref="K15:K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F15:F16"/>
    <mergeCell ref="G15:G16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K17:K18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F23:F24"/>
    <mergeCell ref="G23:G24"/>
    <mergeCell ref="H23:H24"/>
    <mergeCell ref="I23:I24"/>
    <mergeCell ref="J23:J24"/>
    <mergeCell ref="K23:K24"/>
    <mergeCell ref="G21:G22"/>
    <mergeCell ref="H21:H22"/>
    <mergeCell ref="I21:I22"/>
    <mergeCell ref="J21:J22"/>
    <mergeCell ref="K21:K22"/>
    <mergeCell ref="F21:F22"/>
    <mergeCell ref="B26:K26"/>
    <mergeCell ref="D27:H27"/>
    <mergeCell ref="I27:K27"/>
    <mergeCell ref="A28:A29"/>
    <mergeCell ref="B28:B29"/>
    <mergeCell ref="C28:C29"/>
    <mergeCell ref="D28:D29"/>
    <mergeCell ref="F28:F29"/>
    <mergeCell ref="G28:G29"/>
    <mergeCell ref="H28:H29"/>
    <mergeCell ref="H30:H31"/>
    <mergeCell ref="I30:I31"/>
    <mergeCell ref="J30:J31"/>
    <mergeCell ref="K30:K31"/>
    <mergeCell ref="I28:I29"/>
    <mergeCell ref="J28:J29"/>
    <mergeCell ref="K28:K29"/>
    <mergeCell ref="A30:A31"/>
    <mergeCell ref="B30:B31"/>
    <mergeCell ref="C30:C31"/>
    <mergeCell ref="D30:D31"/>
    <mergeCell ref="E30:E31"/>
    <mergeCell ref="F30:F31"/>
    <mergeCell ref="G30:G31"/>
  </mergeCells>
  <printOptions horizontalCentered="1"/>
  <pageMargins left="0.25" right="0.25" top="0.25" bottom="0.2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E55" sqref="E55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06">
        <v>42736</v>
      </c>
      <c r="B1" s="93"/>
      <c r="C1" s="93"/>
      <c r="D1" s="93"/>
      <c r="E1" s="157" t="s">
        <v>128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Table142356948[[#This Row],[Emergency NFI]]+Table142356948[[#This Row],[NFI Replenishment ]]+Table142356948[[#This Row],[NFI3]]</f>
        <v>18858</v>
      </c>
      <c r="F3" s="91">
        <f>Table142356948[[#This Row],[Emergency Shelter]]+Table142356948[[#This Row],[Shelter Upgrade/Repair]]+Table142356948[[#This Row],[Shelter and housing options]]</f>
        <v>1902</v>
      </c>
      <c r="G3" s="91">
        <v>18858</v>
      </c>
      <c r="H3" s="91">
        <v>642</v>
      </c>
      <c r="I3" s="91">
        <v>0</v>
      </c>
      <c r="J3" s="91">
        <v>1260</v>
      </c>
      <c r="K3" s="91">
        <v>0</v>
      </c>
      <c r="L3" s="90">
        <v>0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Table142356948[[#This Row],[Emergency NFI]]+Table142356948[[#This Row],[NFI Replenishment ]]+Table142356948[[#This Row],[NFI3]]</f>
        <v>0</v>
      </c>
      <c r="F4" s="5">
        <f>Table142356948[[#This Row],[Emergency Shelter]]+Table142356948[[#This Row],[Shelter Upgrade/Repair]]+Table142356948[[#This Row],[Shelter and housing options]]</f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89">
        <v>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Table142356948[[#This Row],[Emergency NFI]]+Table142356948[[#This Row],[NFI Replenishment ]]+Table142356948[[#This Row],[NFI3]]</f>
        <v>2100</v>
      </c>
      <c r="F5" s="5">
        <f>Table142356948[[#This Row],[Emergency Shelter]]+Table142356948[[#This Row],[Shelter Upgrade/Repair]]+Table142356948[[#This Row],[Shelter and housing options]]</f>
        <v>0</v>
      </c>
      <c r="G5" s="5">
        <v>2100</v>
      </c>
      <c r="H5" s="5">
        <v>0</v>
      </c>
      <c r="I5" s="5">
        <v>0</v>
      </c>
      <c r="J5" s="5">
        <v>0</v>
      </c>
      <c r="K5" s="5">
        <v>0</v>
      </c>
      <c r="L5" s="89">
        <v>0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Table142356948[[#This Row],[Emergency NFI]]+Table142356948[[#This Row],[NFI Replenishment ]]+Table142356948[[#This Row],[NFI3]]</f>
        <v>0</v>
      </c>
      <c r="F6" s="5">
        <f>Table142356948[[#This Row],[Emergency Shelter]]+Table142356948[[#This Row],[Shelter Upgrade/Repair]]+Table142356948[[#This Row],[Shelter and housing options]]</f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89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Table142356948[[#This Row],[Emergency NFI]]+Table142356948[[#This Row],[NFI Replenishment ]]+Table142356948[[#This Row],[NFI3]]</f>
        <v>24</v>
      </c>
      <c r="F7" s="5">
        <f>Table142356948[[#This Row],[Emergency Shelter]]+Table142356948[[#This Row],[Shelter Upgrade/Repair]]+Table142356948[[#This Row],[Shelter and housing options]]</f>
        <v>7500</v>
      </c>
      <c r="G7" s="5">
        <v>24</v>
      </c>
      <c r="H7" s="5">
        <v>0</v>
      </c>
      <c r="I7" s="5">
        <v>0</v>
      </c>
      <c r="J7" s="5">
        <v>7500</v>
      </c>
      <c r="K7" s="5">
        <v>0</v>
      </c>
      <c r="L7" s="89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Table142356948[[#This Row],[Emergency NFI]]+Table142356948[[#This Row],[NFI Replenishment ]]+Table142356948[[#This Row],[NFI3]]</f>
        <v>5064</v>
      </c>
      <c r="F8" s="5">
        <f>Table142356948[[#This Row],[Emergency Shelter]]+Table142356948[[#This Row],[Shelter Upgrade/Repair]]+Table142356948[[#This Row],[Shelter and housing options]]</f>
        <v>0</v>
      </c>
      <c r="G8" s="5">
        <v>5064</v>
      </c>
      <c r="H8" s="5">
        <v>0</v>
      </c>
      <c r="I8" s="5">
        <v>0</v>
      </c>
      <c r="J8" s="5">
        <v>0</v>
      </c>
      <c r="K8" s="5">
        <v>0</v>
      </c>
      <c r="L8" s="89">
        <v>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Table142356948[[#This Row],[Emergency NFI]]+Table142356948[[#This Row],[NFI Replenishment ]]+Table142356948[[#This Row],[NFI3]]</f>
        <v>3540</v>
      </c>
      <c r="F9" s="5">
        <f>Table142356948[[#This Row],[Emergency Shelter]]+Table142356948[[#This Row],[Shelter Upgrade/Repair]]+Table142356948[[#This Row],[Shelter and housing options]]</f>
        <v>0</v>
      </c>
      <c r="G9" s="5">
        <v>3540</v>
      </c>
      <c r="H9" s="5">
        <v>0</v>
      </c>
      <c r="I9" s="5">
        <v>0</v>
      </c>
      <c r="J9" s="5">
        <v>0</v>
      </c>
      <c r="K9" s="5">
        <v>0</v>
      </c>
      <c r="L9" s="89">
        <v>0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Table142356948[[#This Row],[Emergency NFI]]+Table142356948[[#This Row],[NFI Replenishment ]]+Table142356948[[#This Row],[NFI3]]</f>
        <v>0</v>
      </c>
      <c r="F10" s="5">
        <f>Table142356948[[#This Row],[Emergency Shelter]]+Table142356948[[#This Row],[Shelter Upgrade/Repair]]+Table142356948[[#This Row],[Shelter and housing options]]</f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89">
        <v>0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Table142356948[[#This Row],[Emergency NFI]]+Table142356948[[#This Row],[NFI Replenishment ]]+Table142356948[[#This Row],[NFI3]]</f>
        <v>8622</v>
      </c>
      <c r="F11" s="5">
        <f>Table142356948[[#This Row],[Emergency Shelter]]+Table142356948[[#This Row],[Shelter Upgrade/Repair]]+Table142356948[[#This Row],[Shelter and housing options]]</f>
        <v>0</v>
      </c>
      <c r="G11" s="5">
        <v>8622</v>
      </c>
      <c r="H11" s="5">
        <v>0</v>
      </c>
      <c r="I11" s="5">
        <v>0</v>
      </c>
      <c r="J11" s="5">
        <v>0</v>
      </c>
      <c r="K11" s="5">
        <v>0</v>
      </c>
      <c r="L11" s="89">
        <v>0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Table142356948[[#This Row],[Emergency NFI]]+Table142356948[[#This Row],[NFI Replenishment ]]+Table142356948[[#This Row],[NFI3]]</f>
        <v>0</v>
      </c>
      <c r="F12" s="5">
        <f>Table142356948[[#This Row],[Emergency Shelter]]+Table142356948[[#This Row],[Shelter Upgrade/Repair]]+Table142356948[[#This Row],[Shelter and housing options]]</f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89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Table142356948[[#This Row],[Emergency NFI]]+Table142356948[[#This Row],[NFI Replenishment ]]+Table142356948[[#This Row],[NFI3]]</f>
        <v>0</v>
      </c>
      <c r="F13" s="5">
        <f>Table142356948[[#This Row],[Emergency Shelter]]+Table142356948[[#This Row],[Shelter Upgrade/Repair]]+Table142356948[[#This Row],[Shelter and housing options]]</f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89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Table142356948[[#This Row],[Emergency NFI]]+Table142356948[[#This Row],[NFI Replenishment ]]+Table142356948[[#This Row],[NFI3]]</f>
        <v>0</v>
      </c>
      <c r="F14" s="5">
        <f>Table142356948[[#This Row],[Emergency Shelter]]+Table142356948[[#This Row],[Shelter Upgrade/Repair]]+Table142356948[[#This Row],[Shelter and housing options]]</f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89">
        <v>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Table142356948[[#This Row],[Emergency NFI]]+Table142356948[[#This Row],[NFI Replenishment ]]+Table142356948[[#This Row],[NFI3]]</f>
        <v>214278</v>
      </c>
      <c r="F15" s="5">
        <f>Table142356948[[#This Row],[Emergency Shelter]]+Table142356948[[#This Row],[Shelter Upgrade/Repair]]+Table142356948[[#This Row],[Shelter and housing options]]</f>
        <v>2586</v>
      </c>
      <c r="G15" s="5">
        <v>214278</v>
      </c>
      <c r="H15" s="5">
        <v>2520</v>
      </c>
      <c r="I15" s="5">
        <v>0</v>
      </c>
      <c r="J15" s="5">
        <v>66</v>
      </c>
      <c r="K15" s="5">
        <v>0</v>
      </c>
      <c r="L15" s="89">
        <v>0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Table142356948[[#This Row],[Emergency NFI]]+Table142356948[[#This Row],[NFI Replenishment ]]+Table142356948[[#This Row],[NFI3]]</f>
        <v>0</v>
      </c>
      <c r="F16" s="5">
        <f>Table142356948[[#This Row],[Emergency Shelter]]+Table142356948[[#This Row],[Shelter Upgrade/Repair]]+Table142356948[[#This Row],[Shelter and housing options]]</f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89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Table142356948[[#This Row],[Emergency NFI]]+Table142356948[[#This Row],[NFI Replenishment ]]+Table142356948[[#This Row],[NFI3]]</f>
        <v>23676</v>
      </c>
      <c r="F17" s="5">
        <f>Table142356948[[#This Row],[Emergency Shelter]]+Table142356948[[#This Row],[Shelter Upgrade/Repair]]+Table142356948[[#This Row],[Shelter and housing options]]</f>
        <v>21300</v>
      </c>
      <c r="G17" s="5">
        <v>23676</v>
      </c>
      <c r="H17" s="5">
        <v>21240</v>
      </c>
      <c r="I17" s="5">
        <v>0</v>
      </c>
      <c r="J17" s="5">
        <v>60</v>
      </c>
      <c r="K17" s="5">
        <v>0</v>
      </c>
      <c r="L17" s="89">
        <v>0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Table142356948[[#This Row],[Emergency NFI]]+Table142356948[[#This Row],[NFI Replenishment ]]+Table142356948[[#This Row],[NFI3]]</f>
        <v>0</v>
      </c>
      <c r="F18" s="5">
        <f>Table142356948[[#This Row],[Emergency Shelter]]+Table142356948[[#This Row],[Shelter Upgrade/Repair]]+Table142356948[[#This Row],[Shelter and housing options]]</f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89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Table142356948[[#This Row],[Emergency NFI]]+Table142356948[[#This Row],[NFI Replenishment ]]+Table142356948[[#This Row],[NFI3]]</f>
        <v>0</v>
      </c>
      <c r="F19" s="5">
        <f>Table142356948[[#This Row],[Emergency Shelter]]+Table142356948[[#This Row],[Shelter Upgrade/Repair]]+Table142356948[[#This Row],[Shelter and housing options]]</f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89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Table142356948[[#This Row],[Emergency NFI]]+Table142356948[[#This Row],[NFI Replenishment ]]+Table142356948[[#This Row],[NFI3]]</f>
        <v>0</v>
      </c>
      <c r="F20" s="5">
        <f>Table142356948[[#This Row],[Emergency Shelter]]+Table142356948[[#This Row],[Shelter Upgrade/Repair]]+Table142356948[[#This Row],[Shelter and housing options]]</f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89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276162</v>
      </c>
      <c r="F21" s="9">
        <f>Table142356948[[#This Row],[Emergency Shelter]]+Table142356948[[#This Row],[Shelter Upgrade/Repair]]+Table142356948[[#This Row],[Shelter and housing options]]</f>
        <v>33288</v>
      </c>
      <c r="G21" s="9">
        <f>SUBTOTAL(109,G3:G20)</f>
        <v>276162</v>
      </c>
      <c r="H21" s="9">
        <f>SUBTOTAL(109,H3:H20)</f>
        <v>24402</v>
      </c>
      <c r="I21" s="9">
        <f t="shared" ref="I21:K21" si="0">SUBTOTAL(109,I3:I20)</f>
        <v>0</v>
      </c>
      <c r="J21" s="9">
        <f t="shared" ref="J21" si="1">SUBTOTAL(109,J3:J20)</f>
        <v>8886</v>
      </c>
      <c r="K21" s="9">
        <f t="shared" si="0"/>
        <v>0</v>
      </c>
      <c r="L21" s="9">
        <f t="shared" ref="L21" si="2">SUBTOTAL(109,L3:L20)</f>
        <v>0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K22" si="3">D21/6</f>
        <v>387723.49999999994</v>
      </c>
      <c r="E22" s="11">
        <f t="shared" si="3"/>
        <v>46027</v>
      </c>
      <c r="F22" s="11">
        <f>Table142356948[[#This Row],[Emergency Shelter]]+Table142356948[[#This Row],[Shelter Upgrade/Repair]]+Table142356948[[#This Row],[Shelter and housing options]]</f>
        <v>5548</v>
      </c>
      <c r="G22" s="11">
        <f t="shared" si="3"/>
        <v>46027</v>
      </c>
      <c r="H22" s="11">
        <f t="shared" ref="H22" si="4">H21/6</f>
        <v>4067</v>
      </c>
      <c r="I22" s="11">
        <f t="shared" si="3"/>
        <v>0</v>
      </c>
      <c r="J22" s="11">
        <f t="shared" ref="J22" si="5">J21/6</f>
        <v>1481</v>
      </c>
      <c r="K22" s="11">
        <f t="shared" si="3"/>
        <v>0</v>
      </c>
      <c r="L22" s="11">
        <f t="shared" ref="L22" si="6">L21/6</f>
        <v>0</v>
      </c>
    </row>
    <row r="23" spans="1:12" x14ac:dyDescent="0.25">
      <c r="A23" s="99"/>
      <c r="B23" s="100"/>
      <c r="C23" s="101"/>
      <c r="D23" s="101"/>
      <c r="E23" s="96">
        <f>E21/D21</f>
        <v>0.11871088546348109</v>
      </c>
      <c r="F23" s="96">
        <f>F21/D21</f>
        <v>1.4309166197045062E-2</v>
      </c>
      <c r="G23" s="102"/>
      <c r="H23" s="101"/>
      <c r="I23" s="102"/>
      <c r="J23" s="101"/>
      <c r="K23" s="102"/>
      <c r="L23" s="10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7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7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8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9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9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9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9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9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9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9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9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9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9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9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9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9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9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9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9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9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10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11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1"/>
  <sheetViews>
    <sheetView showGridLines="0" zoomScale="80" zoomScaleNormal="80" workbookViewId="0">
      <selection activeCell="I32" sqref="I32"/>
    </sheetView>
  </sheetViews>
  <sheetFormatPr defaultRowHeight="15" x14ac:dyDescent="0.25"/>
  <cols>
    <col min="1" max="1" width="47.85546875" style="4" customWidth="1"/>
    <col min="2" max="2" width="51.7109375" style="4" customWidth="1"/>
    <col min="3" max="3" width="32.7109375" style="4" bestFit="1" customWidth="1"/>
    <col min="4" max="5" width="17.85546875" style="4" bestFit="1" customWidth="1"/>
    <col min="6" max="6" width="9.85546875" style="4" bestFit="1" customWidth="1"/>
    <col min="7" max="7" width="5.7109375" style="4" bestFit="1" customWidth="1"/>
    <col min="8" max="8" width="7.85546875" style="4" bestFit="1" customWidth="1"/>
    <col min="9" max="9" width="8.140625" style="4" bestFit="1" customWidth="1"/>
    <col min="10" max="10" width="10.85546875" style="4" bestFit="1" customWidth="1"/>
    <col min="11" max="11" width="13.42578125" style="4" customWidth="1"/>
    <col min="12" max="16384" width="9.140625" style="4"/>
  </cols>
  <sheetData>
    <row r="1" spans="1:11" x14ac:dyDescent="0.25">
      <c r="A1" s="80" t="s">
        <v>114</v>
      </c>
      <c r="J1" s="85" t="s">
        <v>118</v>
      </c>
      <c r="K1" s="86">
        <v>43038</v>
      </c>
    </row>
    <row r="2" spans="1:11" x14ac:dyDescent="0.25">
      <c r="A2" t="s">
        <v>115</v>
      </c>
    </row>
    <row r="4" spans="1:11" ht="15" customHeight="1" x14ac:dyDescent="0.25">
      <c r="A4" s="135" t="s">
        <v>69</v>
      </c>
      <c r="B4" s="186" t="s">
        <v>70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1:11" x14ac:dyDescent="0.25">
      <c r="A5" s="135" t="s">
        <v>71</v>
      </c>
      <c r="B5" s="78" t="s">
        <v>72</v>
      </c>
      <c r="C5" s="78"/>
      <c r="D5" s="82"/>
      <c r="E5" s="83"/>
      <c r="F5" s="83"/>
      <c r="G5" s="83"/>
      <c r="H5" s="84"/>
      <c r="I5" s="181" t="s">
        <v>81</v>
      </c>
      <c r="J5" s="182"/>
      <c r="K5" s="183"/>
    </row>
    <row r="6" spans="1:11" ht="15" customHeight="1" x14ac:dyDescent="0.25">
      <c r="A6" s="164" t="s">
        <v>73</v>
      </c>
      <c r="B6" s="165" t="s">
        <v>74</v>
      </c>
      <c r="C6" s="164" t="s">
        <v>75</v>
      </c>
      <c r="D6" s="164" t="s">
        <v>76</v>
      </c>
      <c r="E6" s="134" t="s">
        <v>77</v>
      </c>
      <c r="F6" s="165" t="s">
        <v>39</v>
      </c>
      <c r="G6" s="165" t="s">
        <v>79</v>
      </c>
      <c r="H6" s="165" t="s">
        <v>80</v>
      </c>
      <c r="I6" s="176" t="s">
        <v>116</v>
      </c>
      <c r="J6" s="179" t="s">
        <v>117</v>
      </c>
      <c r="K6" s="184" t="s">
        <v>134</v>
      </c>
    </row>
    <row r="7" spans="1:11" x14ac:dyDescent="0.25">
      <c r="A7" s="164"/>
      <c r="B7" s="165"/>
      <c r="C7" s="164"/>
      <c r="D7" s="164"/>
      <c r="E7" s="134" t="s">
        <v>78</v>
      </c>
      <c r="F7" s="165"/>
      <c r="G7" s="165"/>
      <c r="H7" s="165"/>
      <c r="I7" s="176"/>
      <c r="J7" s="179"/>
      <c r="K7" s="185"/>
    </row>
    <row r="8" spans="1:11" x14ac:dyDescent="0.25">
      <c r="A8" s="171" t="s">
        <v>82</v>
      </c>
      <c r="B8" s="171" t="s">
        <v>83</v>
      </c>
      <c r="C8" s="172" t="s">
        <v>84</v>
      </c>
      <c r="D8" s="173" t="s">
        <v>85</v>
      </c>
      <c r="E8" s="174" t="s">
        <v>86</v>
      </c>
      <c r="F8" s="175">
        <v>344258</v>
      </c>
      <c r="G8" s="170">
        <v>0.45</v>
      </c>
      <c r="H8" s="197">
        <v>0.55000000000000004</v>
      </c>
      <c r="I8" s="198">
        <v>129840</v>
      </c>
      <c r="J8" s="191">
        <f>I8*6</f>
        <v>779040</v>
      </c>
      <c r="K8" s="193">
        <f>J8/F8</f>
        <v>2.2629539473302001</v>
      </c>
    </row>
    <row r="9" spans="1:11" x14ac:dyDescent="0.25">
      <c r="A9" s="171"/>
      <c r="B9" s="171"/>
      <c r="C9" s="172"/>
      <c r="D9" s="173"/>
      <c r="E9" s="174"/>
      <c r="F9" s="175"/>
      <c r="G9" s="170"/>
      <c r="H9" s="197"/>
      <c r="I9" s="198"/>
      <c r="J9" s="192"/>
      <c r="K9" s="194"/>
    </row>
    <row r="10" spans="1:11" x14ac:dyDescent="0.25">
      <c r="A10" s="171" t="s">
        <v>87</v>
      </c>
      <c r="B10" s="171" t="s">
        <v>88</v>
      </c>
      <c r="C10" s="172" t="s">
        <v>89</v>
      </c>
      <c r="D10" s="173" t="s">
        <v>85</v>
      </c>
      <c r="E10" s="174" t="s">
        <v>90</v>
      </c>
      <c r="F10" s="175">
        <v>1190204</v>
      </c>
      <c r="G10" s="170">
        <v>0.45</v>
      </c>
      <c r="H10" s="197">
        <v>0.55000000000000004</v>
      </c>
      <c r="I10" s="198">
        <v>280063</v>
      </c>
      <c r="J10" s="191">
        <f>I10*6</f>
        <v>1680378</v>
      </c>
      <c r="K10" s="193">
        <f>J10/F10</f>
        <v>1.41184032317149</v>
      </c>
    </row>
    <row r="11" spans="1:11" x14ac:dyDescent="0.25">
      <c r="A11" s="171"/>
      <c r="B11" s="171"/>
      <c r="C11" s="172"/>
      <c r="D11" s="173"/>
      <c r="E11" s="174"/>
      <c r="F11" s="175"/>
      <c r="G11" s="170"/>
      <c r="H11" s="197"/>
      <c r="I11" s="198"/>
      <c r="J11" s="192"/>
      <c r="K11" s="194"/>
    </row>
    <row r="12" spans="1:11" x14ac:dyDescent="0.25">
      <c r="J12" s="81"/>
    </row>
    <row r="13" spans="1:11" ht="15" customHeight="1" x14ac:dyDescent="0.25">
      <c r="A13" s="135" t="s">
        <v>91</v>
      </c>
      <c r="B13" s="186" t="s">
        <v>92</v>
      </c>
      <c r="C13" s="187"/>
      <c r="D13" s="187"/>
      <c r="E13" s="187"/>
      <c r="F13" s="187"/>
      <c r="G13" s="187"/>
      <c r="H13" s="187"/>
      <c r="I13" s="187"/>
      <c r="J13" s="187"/>
      <c r="K13" s="188"/>
    </row>
    <row r="14" spans="1:11" x14ac:dyDescent="0.25">
      <c r="A14" s="135" t="s">
        <v>71</v>
      </c>
      <c r="B14" s="78" t="s">
        <v>93</v>
      </c>
      <c r="C14" s="78"/>
      <c r="D14" s="180"/>
      <c r="E14" s="180"/>
      <c r="F14" s="180"/>
      <c r="G14" s="180"/>
      <c r="H14" s="180"/>
      <c r="I14" s="181" t="s">
        <v>81</v>
      </c>
      <c r="J14" s="182"/>
      <c r="K14" s="183"/>
    </row>
    <row r="15" spans="1:11" ht="15" customHeight="1" x14ac:dyDescent="0.25">
      <c r="A15" s="164" t="s">
        <v>73</v>
      </c>
      <c r="B15" s="165" t="s">
        <v>74</v>
      </c>
      <c r="C15" s="164" t="s">
        <v>75</v>
      </c>
      <c r="D15" s="166" t="s">
        <v>76</v>
      </c>
      <c r="E15" s="134" t="s">
        <v>77</v>
      </c>
      <c r="F15" s="168" t="s">
        <v>39</v>
      </c>
      <c r="G15" s="168" t="s">
        <v>79</v>
      </c>
      <c r="H15" s="168" t="s">
        <v>80</v>
      </c>
      <c r="I15" s="176" t="s">
        <v>116</v>
      </c>
      <c r="J15" s="179" t="s">
        <v>117</v>
      </c>
      <c r="K15" s="184" t="s">
        <v>134</v>
      </c>
    </row>
    <row r="16" spans="1:11" x14ac:dyDescent="0.25">
      <c r="A16" s="164"/>
      <c r="B16" s="165"/>
      <c r="C16" s="164"/>
      <c r="D16" s="167"/>
      <c r="E16" s="134" t="s">
        <v>78</v>
      </c>
      <c r="F16" s="169"/>
      <c r="G16" s="169"/>
      <c r="H16" s="169"/>
      <c r="I16" s="176"/>
      <c r="J16" s="179"/>
      <c r="K16" s="185"/>
    </row>
    <row r="17" spans="1:12" x14ac:dyDescent="0.25">
      <c r="A17" s="171" t="s">
        <v>94</v>
      </c>
      <c r="B17" s="171" t="s">
        <v>95</v>
      </c>
      <c r="C17" s="172" t="s">
        <v>96</v>
      </c>
      <c r="D17" s="173" t="s">
        <v>85</v>
      </c>
      <c r="E17" s="174" t="s">
        <v>97</v>
      </c>
      <c r="F17" s="175">
        <v>256530</v>
      </c>
      <c r="G17" s="170">
        <v>0.45</v>
      </c>
      <c r="H17" s="197">
        <v>0.55000000000000004</v>
      </c>
      <c r="I17" s="199">
        <v>19180</v>
      </c>
      <c r="J17" s="191">
        <f>I17*6</f>
        <v>115080</v>
      </c>
      <c r="K17" s="195">
        <f>J17/F17</f>
        <v>0.44860250263127122</v>
      </c>
      <c r="L17" s="4" t="s">
        <v>140</v>
      </c>
    </row>
    <row r="18" spans="1:12" x14ac:dyDescent="0.25">
      <c r="A18" s="171"/>
      <c r="B18" s="171"/>
      <c r="C18" s="172"/>
      <c r="D18" s="173"/>
      <c r="E18" s="174"/>
      <c r="F18" s="175"/>
      <c r="G18" s="170"/>
      <c r="H18" s="197"/>
      <c r="I18" s="199"/>
      <c r="J18" s="192"/>
      <c r="K18" s="196"/>
      <c r="L18" s="4" t="s">
        <v>141</v>
      </c>
    </row>
    <row r="19" spans="1:12" x14ac:dyDescent="0.25">
      <c r="A19" s="171" t="s">
        <v>98</v>
      </c>
      <c r="B19" s="171" t="s">
        <v>99</v>
      </c>
      <c r="C19" s="172" t="s">
        <v>96</v>
      </c>
      <c r="D19" s="173" t="s">
        <v>85</v>
      </c>
      <c r="E19" s="174" t="s">
        <v>100</v>
      </c>
      <c r="F19" s="175">
        <v>12234</v>
      </c>
      <c r="G19" s="170">
        <v>0.45</v>
      </c>
      <c r="H19" s="197">
        <v>0.55000000000000004</v>
      </c>
      <c r="I19" s="199">
        <v>5349</v>
      </c>
      <c r="J19" s="191">
        <f>I19*6</f>
        <v>32094</v>
      </c>
      <c r="K19" s="193">
        <f t="shared" ref="K19" si="0">J19/F19</f>
        <v>2.6233447768513978</v>
      </c>
    </row>
    <row r="20" spans="1:12" x14ac:dyDescent="0.25">
      <c r="A20" s="171"/>
      <c r="B20" s="171"/>
      <c r="C20" s="172"/>
      <c r="D20" s="173"/>
      <c r="E20" s="174"/>
      <c r="F20" s="175"/>
      <c r="G20" s="170"/>
      <c r="H20" s="197"/>
      <c r="I20" s="199"/>
      <c r="J20" s="192"/>
      <c r="K20" s="194"/>
    </row>
    <row r="21" spans="1:12" x14ac:dyDescent="0.25">
      <c r="A21" s="171" t="s">
        <v>101</v>
      </c>
      <c r="B21" s="171" t="s">
        <v>102</v>
      </c>
      <c r="C21" s="172" t="s">
        <v>89</v>
      </c>
      <c r="D21" s="173" t="s">
        <v>85</v>
      </c>
      <c r="E21" s="174" t="s">
        <v>103</v>
      </c>
      <c r="F21" s="175">
        <v>382978</v>
      </c>
      <c r="G21" s="170">
        <v>0.45</v>
      </c>
      <c r="H21" s="197">
        <v>0.55000000000000004</v>
      </c>
      <c r="I21" s="199">
        <v>30873</v>
      </c>
      <c r="J21" s="191">
        <f>I21*6</f>
        <v>185238</v>
      </c>
      <c r="K21" s="195">
        <f t="shared" ref="K21" si="1">J21/F21</f>
        <v>0.48367791361383683</v>
      </c>
    </row>
    <row r="22" spans="1:12" x14ac:dyDescent="0.25">
      <c r="A22" s="171"/>
      <c r="B22" s="171"/>
      <c r="C22" s="172"/>
      <c r="D22" s="173"/>
      <c r="E22" s="174"/>
      <c r="F22" s="175"/>
      <c r="G22" s="170"/>
      <c r="H22" s="197"/>
      <c r="I22" s="199"/>
      <c r="J22" s="192"/>
      <c r="K22" s="196"/>
    </row>
    <row r="23" spans="1:12" x14ac:dyDescent="0.25">
      <c r="A23" s="171" t="s">
        <v>104</v>
      </c>
      <c r="B23" s="171" t="s">
        <v>105</v>
      </c>
      <c r="C23" s="172" t="s">
        <v>89</v>
      </c>
      <c r="D23" s="173" t="s">
        <v>85</v>
      </c>
      <c r="E23" s="174" t="s">
        <v>106</v>
      </c>
      <c r="F23" s="175">
        <v>100246</v>
      </c>
      <c r="G23" s="170">
        <v>0.45</v>
      </c>
      <c r="H23" s="197">
        <v>0.55000000000000004</v>
      </c>
      <c r="I23" s="199">
        <v>3365</v>
      </c>
      <c r="J23" s="191">
        <f>I23*6</f>
        <v>20190</v>
      </c>
      <c r="K23" s="195">
        <f t="shared" ref="K23" si="2">J23/F23</f>
        <v>0.20140454481974343</v>
      </c>
    </row>
    <row r="24" spans="1:12" x14ac:dyDescent="0.25">
      <c r="A24" s="171"/>
      <c r="B24" s="171"/>
      <c r="C24" s="172"/>
      <c r="D24" s="173"/>
      <c r="E24" s="174"/>
      <c r="F24" s="175"/>
      <c r="G24" s="170"/>
      <c r="H24" s="197"/>
      <c r="I24" s="199"/>
      <c r="J24" s="192"/>
      <c r="K24" s="196"/>
    </row>
    <row r="25" spans="1:12" x14ac:dyDescent="0.25">
      <c r="J25" s="81"/>
    </row>
    <row r="26" spans="1:12" ht="15" customHeight="1" x14ac:dyDescent="0.25">
      <c r="A26" s="135" t="s">
        <v>107</v>
      </c>
      <c r="B26" s="186" t="s">
        <v>108</v>
      </c>
      <c r="C26" s="187"/>
      <c r="D26" s="187"/>
      <c r="E26" s="187"/>
      <c r="F26" s="187"/>
      <c r="G26" s="187"/>
      <c r="H26" s="187"/>
      <c r="I26" s="187"/>
      <c r="J26" s="187"/>
      <c r="K26" s="188"/>
    </row>
    <row r="27" spans="1:12" x14ac:dyDescent="0.25">
      <c r="A27" s="135" t="s">
        <v>71</v>
      </c>
      <c r="B27" s="78" t="s">
        <v>109</v>
      </c>
      <c r="C27" s="78"/>
      <c r="D27" s="180"/>
      <c r="E27" s="180"/>
      <c r="F27" s="180"/>
      <c r="G27" s="180"/>
      <c r="H27" s="180"/>
      <c r="I27" s="181" t="s">
        <v>81</v>
      </c>
      <c r="J27" s="182"/>
      <c r="K27" s="183"/>
    </row>
    <row r="28" spans="1:12" ht="15" customHeight="1" x14ac:dyDescent="0.25">
      <c r="A28" s="164" t="s">
        <v>73</v>
      </c>
      <c r="B28" s="165" t="s">
        <v>74</v>
      </c>
      <c r="C28" s="164" t="s">
        <v>75</v>
      </c>
      <c r="D28" s="164" t="s">
        <v>76</v>
      </c>
      <c r="E28" s="134" t="s">
        <v>77</v>
      </c>
      <c r="F28" s="165" t="s">
        <v>39</v>
      </c>
      <c r="G28" s="165" t="s">
        <v>79</v>
      </c>
      <c r="H28" s="165" t="s">
        <v>80</v>
      </c>
      <c r="I28" s="176" t="s">
        <v>116</v>
      </c>
      <c r="J28" s="179" t="s">
        <v>117</v>
      </c>
      <c r="K28" s="184" t="s">
        <v>134</v>
      </c>
    </row>
    <row r="29" spans="1:12" x14ac:dyDescent="0.25">
      <c r="A29" s="164"/>
      <c r="B29" s="165"/>
      <c r="C29" s="164"/>
      <c r="D29" s="164"/>
      <c r="E29" s="134" t="s">
        <v>78</v>
      </c>
      <c r="F29" s="165"/>
      <c r="G29" s="165"/>
      <c r="H29" s="165"/>
      <c r="I29" s="176"/>
      <c r="J29" s="179"/>
      <c r="K29" s="185"/>
    </row>
    <row r="30" spans="1:12" x14ac:dyDescent="0.25">
      <c r="A30" s="177" t="s">
        <v>110</v>
      </c>
      <c r="B30" s="171" t="s">
        <v>142</v>
      </c>
      <c r="C30" s="172" t="s">
        <v>89</v>
      </c>
      <c r="D30" s="173" t="s">
        <v>112</v>
      </c>
      <c r="E30" s="174" t="s">
        <v>113</v>
      </c>
      <c r="F30" s="175">
        <v>41534</v>
      </c>
      <c r="G30" s="170">
        <v>0.45</v>
      </c>
      <c r="H30" s="197">
        <v>0.55000000000000004</v>
      </c>
      <c r="I30" s="199">
        <v>1537</v>
      </c>
      <c r="J30" s="191">
        <f>I30*6</f>
        <v>9222</v>
      </c>
      <c r="K30" s="195">
        <f t="shared" ref="K30" si="3">J30/F30</f>
        <v>0.22203495931044445</v>
      </c>
    </row>
    <row r="31" spans="1:12" x14ac:dyDescent="0.25">
      <c r="A31" s="178"/>
      <c r="B31" s="171"/>
      <c r="C31" s="172"/>
      <c r="D31" s="173"/>
      <c r="E31" s="174"/>
      <c r="F31" s="175"/>
      <c r="G31" s="170"/>
      <c r="H31" s="197"/>
      <c r="I31" s="199"/>
      <c r="J31" s="192"/>
      <c r="K31" s="196"/>
      <c r="L31" s="41"/>
    </row>
  </sheetData>
  <mergeCells count="115">
    <mergeCell ref="H30:H31"/>
    <mergeCell ref="I30:I31"/>
    <mergeCell ref="J30:J31"/>
    <mergeCell ref="K30:K31"/>
    <mergeCell ref="I28:I29"/>
    <mergeCell ref="J28:J29"/>
    <mergeCell ref="K28:K29"/>
    <mergeCell ref="A30:A31"/>
    <mergeCell ref="B30:B31"/>
    <mergeCell ref="C30:C31"/>
    <mergeCell ref="D30:D31"/>
    <mergeCell ref="E30:E31"/>
    <mergeCell ref="F30:F31"/>
    <mergeCell ref="G30:G31"/>
    <mergeCell ref="B26:K26"/>
    <mergeCell ref="D27:H27"/>
    <mergeCell ref="I27:K27"/>
    <mergeCell ref="A28:A29"/>
    <mergeCell ref="B28:B29"/>
    <mergeCell ref="C28:C29"/>
    <mergeCell ref="D28:D29"/>
    <mergeCell ref="F28:F29"/>
    <mergeCell ref="G28:G29"/>
    <mergeCell ref="H28:H29"/>
    <mergeCell ref="F23:F24"/>
    <mergeCell ref="G23:G24"/>
    <mergeCell ref="H23:H24"/>
    <mergeCell ref="I23:I24"/>
    <mergeCell ref="J23:J24"/>
    <mergeCell ref="K23:K24"/>
    <mergeCell ref="G21:G22"/>
    <mergeCell ref="H21:H22"/>
    <mergeCell ref="I21:I22"/>
    <mergeCell ref="J21:J22"/>
    <mergeCell ref="K21:K22"/>
    <mergeCell ref="F21:F22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D15:D16"/>
    <mergeCell ref="F15:F16"/>
    <mergeCell ref="G15:G16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K17:K18"/>
    <mergeCell ref="B13:K13"/>
    <mergeCell ref="D14:H14"/>
    <mergeCell ref="I14:K14"/>
    <mergeCell ref="I8:I9"/>
    <mergeCell ref="J8:J9"/>
    <mergeCell ref="K8:K9"/>
    <mergeCell ref="A19:A20"/>
    <mergeCell ref="B19:B20"/>
    <mergeCell ref="C19:C20"/>
    <mergeCell ref="D19:D20"/>
    <mergeCell ref="E19:E20"/>
    <mergeCell ref="H15:H16"/>
    <mergeCell ref="I15:I16"/>
    <mergeCell ref="J15:J16"/>
    <mergeCell ref="K15:K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A10:A11"/>
    <mergeCell ref="B10:B11"/>
    <mergeCell ref="C10:C11"/>
    <mergeCell ref="D10:D11"/>
    <mergeCell ref="E10:E11"/>
    <mergeCell ref="F10:F11"/>
    <mergeCell ref="G10:G11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H10:H11"/>
    <mergeCell ref="I10:I11"/>
    <mergeCell ref="J10:J11"/>
    <mergeCell ref="K10:K11"/>
    <mergeCell ref="B4:K4"/>
    <mergeCell ref="I5:K5"/>
    <mergeCell ref="A6:A7"/>
    <mergeCell ref="B6:B7"/>
    <mergeCell ref="C6:C7"/>
    <mergeCell ref="D6:D7"/>
    <mergeCell ref="F6:F7"/>
    <mergeCell ref="G6:G7"/>
    <mergeCell ref="H6:H7"/>
    <mergeCell ref="I6:I7"/>
  </mergeCells>
  <printOptions horizontalCentered="1"/>
  <pageMargins left="0.25" right="0.25" top="0.25" bottom="0.25" header="0.3" footer="0.3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1"/>
  <sheetViews>
    <sheetView showGridLines="0" zoomScale="80" zoomScaleNormal="80" workbookViewId="0">
      <selection activeCell="C33" sqref="C33"/>
    </sheetView>
  </sheetViews>
  <sheetFormatPr defaultRowHeight="15" x14ac:dyDescent="0.25"/>
  <cols>
    <col min="1" max="1" width="47.85546875" style="4" customWidth="1"/>
    <col min="2" max="2" width="51.7109375" style="4" customWidth="1"/>
    <col min="3" max="3" width="32.7109375" style="4" bestFit="1" customWidth="1"/>
    <col min="4" max="5" width="17.85546875" style="4" bestFit="1" customWidth="1"/>
    <col min="6" max="6" width="9.85546875" style="4" bestFit="1" customWidth="1"/>
    <col min="7" max="7" width="5.7109375" style="4" bestFit="1" customWidth="1"/>
    <col min="8" max="8" width="7.85546875" style="4" bestFit="1" customWidth="1"/>
    <col min="9" max="9" width="8.7109375" style="4" bestFit="1" customWidth="1"/>
    <col min="10" max="10" width="10.85546875" style="4" bestFit="1" customWidth="1"/>
    <col min="11" max="11" width="13.42578125" style="4" customWidth="1"/>
    <col min="12" max="16384" width="9.140625" style="4"/>
  </cols>
  <sheetData>
    <row r="1" spans="1:11" x14ac:dyDescent="0.25">
      <c r="A1" s="80" t="s">
        <v>114</v>
      </c>
      <c r="J1" s="85" t="s">
        <v>118</v>
      </c>
      <c r="K1" s="86">
        <v>43069</v>
      </c>
    </row>
    <row r="2" spans="1:11" x14ac:dyDescent="0.25">
      <c r="A2" t="s">
        <v>115</v>
      </c>
    </row>
    <row r="4" spans="1:11" ht="15" customHeight="1" x14ac:dyDescent="0.25">
      <c r="A4" s="135" t="s">
        <v>69</v>
      </c>
      <c r="B4" s="186" t="s">
        <v>70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1:11" x14ac:dyDescent="0.25">
      <c r="A5" s="135" t="s">
        <v>71</v>
      </c>
      <c r="B5" s="78" t="s">
        <v>72</v>
      </c>
      <c r="C5" s="78"/>
      <c r="D5" s="82"/>
      <c r="E5" s="83"/>
      <c r="F5" s="83"/>
      <c r="G5" s="83"/>
      <c r="H5" s="84"/>
      <c r="I5" s="181" t="s">
        <v>81</v>
      </c>
      <c r="J5" s="182"/>
      <c r="K5" s="183"/>
    </row>
    <row r="6" spans="1:11" ht="15" customHeight="1" x14ac:dyDescent="0.25">
      <c r="A6" s="164" t="s">
        <v>73</v>
      </c>
      <c r="B6" s="165" t="s">
        <v>74</v>
      </c>
      <c r="C6" s="164" t="s">
        <v>75</v>
      </c>
      <c r="D6" s="164" t="s">
        <v>76</v>
      </c>
      <c r="E6" s="134" t="s">
        <v>77</v>
      </c>
      <c r="F6" s="165" t="s">
        <v>39</v>
      </c>
      <c r="G6" s="165" t="s">
        <v>79</v>
      </c>
      <c r="H6" s="165" t="s">
        <v>80</v>
      </c>
      <c r="I6" s="176" t="s">
        <v>116</v>
      </c>
      <c r="J6" s="179" t="s">
        <v>117</v>
      </c>
      <c r="K6" s="184" t="s">
        <v>134</v>
      </c>
    </row>
    <row r="7" spans="1:11" x14ac:dyDescent="0.25">
      <c r="A7" s="164"/>
      <c r="B7" s="165"/>
      <c r="C7" s="164"/>
      <c r="D7" s="164"/>
      <c r="E7" s="134" t="s">
        <v>78</v>
      </c>
      <c r="F7" s="165"/>
      <c r="G7" s="165"/>
      <c r="H7" s="165"/>
      <c r="I7" s="176"/>
      <c r="J7" s="179"/>
      <c r="K7" s="185"/>
    </row>
    <row r="8" spans="1:11" x14ac:dyDescent="0.25">
      <c r="A8" s="171" t="s">
        <v>82</v>
      </c>
      <c r="B8" s="171" t="s">
        <v>83</v>
      </c>
      <c r="C8" s="172" t="s">
        <v>84</v>
      </c>
      <c r="D8" s="173" t="s">
        <v>85</v>
      </c>
      <c r="E8" s="174" t="s">
        <v>86</v>
      </c>
      <c r="F8" s="175">
        <v>344258</v>
      </c>
      <c r="G8" s="170">
        <v>0.45</v>
      </c>
      <c r="H8" s="197">
        <v>0.55000000000000004</v>
      </c>
      <c r="I8" s="198">
        <v>164092</v>
      </c>
      <c r="J8" s="191">
        <f>I8*6</f>
        <v>984552</v>
      </c>
      <c r="K8" s="193">
        <f>J8/F8</f>
        <v>2.8599248238239925</v>
      </c>
    </row>
    <row r="9" spans="1:11" x14ac:dyDescent="0.25">
      <c r="A9" s="171"/>
      <c r="B9" s="171"/>
      <c r="C9" s="172"/>
      <c r="D9" s="173"/>
      <c r="E9" s="174"/>
      <c r="F9" s="175"/>
      <c r="G9" s="170"/>
      <c r="H9" s="197"/>
      <c r="I9" s="198"/>
      <c r="J9" s="192"/>
      <c r="K9" s="194"/>
    </row>
    <row r="10" spans="1:11" x14ac:dyDescent="0.25">
      <c r="A10" s="171" t="s">
        <v>87</v>
      </c>
      <c r="B10" s="171" t="s">
        <v>88</v>
      </c>
      <c r="C10" s="172" t="s">
        <v>89</v>
      </c>
      <c r="D10" s="173" t="s">
        <v>85</v>
      </c>
      <c r="E10" s="174" t="s">
        <v>90</v>
      </c>
      <c r="F10" s="175">
        <v>1190204</v>
      </c>
      <c r="G10" s="170">
        <v>0.45</v>
      </c>
      <c r="H10" s="197">
        <v>0.55000000000000004</v>
      </c>
      <c r="I10" s="198">
        <v>286928</v>
      </c>
      <c r="J10" s="191">
        <f>I10*6</f>
        <v>1721568</v>
      </c>
      <c r="K10" s="193">
        <f>J10/F10</f>
        <v>1.4464478358331849</v>
      </c>
    </row>
    <row r="11" spans="1:11" x14ac:dyDescent="0.25">
      <c r="A11" s="171"/>
      <c r="B11" s="171"/>
      <c r="C11" s="172"/>
      <c r="D11" s="173"/>
      <c r="E11" s="174"/>
      <c r="F11" s="175"/>
      <c r="G11" s="170"/>
      <c r="H11" s="197"/>
      <c r="I11" s="198"/>
      <c r="J11" s="192"/>
      <c r="K11" s="194"/>
    </row>
    <row r="12" spans="1:11" x14ac:dyDescent="0.25">
      <c r="J12" s="81"/>
    </row>
    <row r="13" spans="1:11" ht="15" customHeight="1" x14ac:dyDescent="0.25">
      <c r="A13" s="135" t="s">
        <v>91</v>
      </c>
      <c r="B13" s="186" t="s">
        <v>92</v>
      </c>
      <c r="C13" s="187"/>
      <c r="D13" s="187"/>
      <c r="E13" s="187"/>
      <c r="F13" s="187"/>
      <c r="G13" s="187"/>
      <c r="H13" s="187"/>
      <c r="I13" s="187"/>
      <c r="J13" s="187"/>
      <c r="K13" s="188"/>
    </row>
    <row r="14" spans="1:11" x14ac:dyDescent="0.25">
      <c r="A14" s="135" t="s">
        <v>71</v>
      </c>
      <c r="B14" s="78" t="s">
        <v>93</v>
      </c>
      <c r="C14" s="78"/>
      <c r="D14" s="180"/>
      <c r="E14" s="180"/>
      <c r="F14" s="180"/>
      <c r="G14" s="180"/>
      <c r="H14" s="180"/>
      <c r="I14" s="181" t="s">
        <v>81</v>
      </c>
      <c r="J14" s="182"/>
      <c r="K14" s="183"/>
    </row>
    <row r="15" spans="1:11" ht="15" customHeight="1" x14ac:dyDescent="0.25">
      <c r="A15" s="164" t="s">
        <v>73</v>
      </c>
      <c r="B15" s="165" t="s">
        <v>74</v>
      </c>
      <c r="C15" s="164" t="s">
        <v>75</v>
      </c>
      <c r="D15" s="166" t="s">
        <v>76</v>
      </c>
      <c r="E15" s="134" t="s">
        <v>77</v>
      </c>
      <c r="F15" s="168" t="s">
        <v>39</v>
      </c>
      <c r="G15" s="168" t="s">
        <v>79</v>
      </c>
      <c r="H15" s="168" t="s">
        <v>80</v>
      </c>
      <c r="I15" s="176" t="s">
        <v>116</v>
      </c>
      <c r="J15" s="179" t="s">
        <v>117</v>
      </c>
      <c r="K15" s="184" t="s">
        <v>134</v>
      </c>
    </row>
    <row r="16" spans="1:11" x14ac:dyDescent="0.25">
      <c r="A16" s="164"/>
      <c r="B16" s="165"/>
      <c r="C16" s="164"/>
      <c r="D16" s="167"/>
      <c r="E16" s="134" t="s">
        <v>78</v>
      </c>
      <c r="F16" s="169"/>
      <c r="G16" s="169"/>
      <c r="H16" s="169"/>
      <c r="I16" s="176"/>
      <c r="J16" s="179"/>
      <c r="K16" s="185"/>
    </row>
    <row r="17" spans="1:12" x14ac:dyDescent="0.25">
      <c r="A17" s="171" t="s">
        <v>94</v>
      </c>
      <c r="B17" s="171" t="s">
        <v>95</v>
      </c>
      <c r="C17" s="172" t="s">
        <v>96</v>
      </c>
      <c r="D17" s="173" t="s">
        <v>85</v>
      </c>
      <c r="E17" s="174" t="s">
        <v>97</v>
      </c>
      <c r="F17" s="175">
        <v>256530</v>
      </c>
      <c r="G17" s="170">
        <v>0.45</v>
      </c>
      <c r="H17" s="197">
        <v>0.55000000000000004</v>
      </c>
      <c r="I17" s="199">
        <v>19432</v>
      </c>
      <c r="J17" s="191">
        <f>I17*6</f>
        <v>116592</v>
      </c>
      <c r="K17" s="195">
        <f>J17/F17</f>
        <v>0.45449655011109813</v>
      </c>
      <c r="L17" s="4" t="s">
        <v>140</v>
      </c>
    </row>
    <row r="18" spans="1:12" x14ac:dyDescent="0.25">
      <c r="A18" s="171"/>
      <c r="B18" s="171"/>
      <c r="C18" s="172"/>
      <c r="D18" s="173"/>
      <c r="E18" s="174"/>
      <c r="F18" s="175"/>
      <c r="G18" s="170"/>
      <c r="H18" s="197"/>
      <c r="I18" s="199"/>
      <c r="J18" s="192"/>
      <c r="K18" s="196"/>
      <c r="L18" s="4" t="s">
        <v>141</v>
      </c>
    </row>
    <row r="19" spans="1:12" x14ac:dyDescent="0.25">
      <c r="A19" s="171" t="s">
        <v>98</v>
      </c>
      <c r="B19" s="171" t="s">
        <v>99</v>
      </c>
      <c r="C19" s="172" t="s">
        <v>96</v>
      </c>
      <c r="D19" s="173" t="s">
        <v>85</v>
      </c>
      <c r="E19" s="174" t="s">
        <v>100</v>
      </c>
      <c r="F19" s="175">
        <v>12234</v>
      </c>
      <c r="G19" s="170">
        <v>0.45</v>
      </c>
      <c r="H19" s="197">
        <v>0.55000000000000004</v>
      </c>
      <c r="I19" s="199">
        <v>5349</v>
      </c>
      <c r="J19" s="191">
        <f>I19*6</f>
        <v>32094</v>
      </c>
      <c r="K19" s="193">
        <f t="shared" ref="K19" si="0">J19/F19</f>
        <v>2.6233447768513978</v>
      </c>
    </row>
    <row r="20" spans="1:12" x14ac:dyDescent="0.25">
      <c r="A20" s="171"/>
      <c r="B20" s="171"/>
      <c r="C20" s="172"/>
      <c r="D20" s="173"/>
      <c r="E20" s="174"/>
      <c r="F20" s="175"/>
      <c r="G20" s="170"/>
      <c r="H20" s="197"/>
      <c r="I20" s="199"/>
      <c r="J20" s="192"/>
      <c r="K20" s="194"/>
    </row>
    <row r="21" spans="1:12" x14ac:dyDescent="0.25">
      <c r="A21" s="171" t="s">
        <v>101</v>
      </c>
      <c r="B21" s="171" t="s">
        <v>102</v>
      </c>
      <c r="C21" s="172" t="s">
        <v>89</v>
      </c>
      <c r="D21" s="173" t="s">
        <v>85</v>
      </c>
      <c r="E21" s="174" t="s">
        <v>103</v>
      </c>
      <c r="F21" s="175">
        <v>382978</v>
      </c>
      <c r="G21" s="170">
        <v>0.45</v>
      </c>
      <c r="H21" s="197">
        <v>0.55000000000000004</v>
      </c>
      <c r="I21" s="199">
        <v>34879</v>
      </c>
      <c r="J21" s="191">
        <f>I21*6</f>
        <v>209274</v>
      </c>
      <c r="K21" s="200">
        <f t="shared" ref="K21" si="1">J21/F21</f>
        <v>0.54643869882865337</v>
      </c>
    </row>
    <row r="22" spans="1:12" x14ac:dyDescent="0.25">
      <c r="A22" s="171"/>
      <c r="B22" s="171"/>
      <c r="C22" s="172"/>
      <c r="D22" s="173"/>
      <c r="E22" s="174"/>
      <c r="F22" s="175"/>
      <c r="G22" s="170"/>
      <c r="H22" s="197"/>
      <c r="I22" s="199"/>
      <c r="J22" s="192"/>
      <c r="K22" s="201"/>
    </row>
    <row r="23" spans="1:12" x14ac:dyDescent="0.25">
      <c r="A23" s="171" t="s">
        <v>104</v>
      </c>
      <c r="B23" s="171" t="s">
        <v>105</v>
      </c>
      <c r="C23" s="172" t="s">
        <v>89</v>
      </c>
      <c r="D23" s="173" t="s">
        <v>85</v>
      </c>
      <c r="E23" s="174" t="s">
        <v>106</v>
      </c>
      <c r="F23" s="175">
        <v>100246</v>
      </c>
      <c r="G23" s="170">
        <v>0.45</v>
      </c>
      <c r="H23" s="197">
        <v>0.55000000000000004</v>
      </c>
      <c r="I23" s="199">
        <v>8696</v>
      </c>
      <c r="J23" s="191">
        <f>I23*6</f>
        <v>52176</v>
      </c>
      <c r="K23" s="200">
        <f t="shared" ref="K23" si="2">J23/F23</f>
        <v>0.52047962013446925</v>
      </c>
      <c r="L23" s="4" t="s">
        <v>145</v>
      </c>
    </row>
    <row r="24" spans="1:12" x14ac:dyDescent="0.25">
      <c r="A24" s="171"/>
      <c r="B24" s="171"/>
      <c r="C24" s="172"/>
      <c r="D24" s="173"/>
      <c r="E24" s="174"/>
      <c r="F24" s="175"/>
      <c r="G24" s="170"/>
      <c r="H24" s="197"/>
      <c r="I24" s="199"/>
      <c r="J24" s="192"/>
      <c r="K24" s="201"/>
    </row>
    <row r="25" spans="1:12" x14ac:dyDescent="0.25">
      <c r="J25" s="81"/>
    </row>
    <row r="26" spans="1:12" ht="15" customHeight="1" x14ac:dyDescent="0.25">
      <c r="A26" s="135" t="s">
        <v>107</v>
      </c>
      <c r="B26" s="186" t="s">
        <v>108</v>
      </c>
      <c r="C26" s="187"/>
      <c r="D26" s="187"/>
      <c r="E26" s="187"/>
      <c r="F26" s="187"/>
      <c r="G26" s="187"/>
      <c r="H26" s="187"/>
      <c r="I26" s="187"/>
      <c r="J26" s="187"/>
      <c r="K26" s="188"/>
    </row>
    <row r="27" spans="1:12" x14ac:dyDescent="0.25">
      <c r="A27" s="135" t="s">
        <v>71</v>
      </c>
      <c r="B27" s="78" t="s">
        <v>109</v>
      </c>
      <c r="C27" s="78"/>
      <c r="D27" s="180"/>
      <c r="E27" s="180"/>
      <c r="F27" s="180"/>
      <c r="G27" s="180"/>
      <c r="H27" s="180"/>
      <c r="I27" s="181" t="s">
        <v>81</v>
      </c>
      <c r="J27" s="182"/>
      <c r="K27" s="183"/>
    </row>
    <row r="28" spans="1:12" ht="15" customHeight="1" x14ac:dyDescent="0.25">
      <c r="A28" s="164" t="s">
        <v>73</v>
      </c>
      <c r="B28" s="165" t="s">
        <v>74</v>
      </c>
      <c r="C28" s="164" t="s">
        <v>75</v>
      </c>
      <c r="D28" s="164" t="s">
        <v>76</v>
      </c>
      <c r="E28" s="134" t="s">
        <v>77</v>
      </c>
      <c r="F28" s="165" t="s">
        <v>39</v>
      </c>
      <c r="G28" s="165" t="s">
        <v>79</v>
      </c>
      <c r="H28" s="165" t="s">
        <v>80</v>
      </c>
      <c r="I28" s="176" t="s">
        <v>116</v>
      </c>
      <c r="J28" s="179" t="s">
        <v>117</v>
      </c>
      <c r="K28" s="184" t="s">
        <v>134</v>
      </c>
    </row>
    <row r="29" spans="1:12" x14ac:dyDescent="0.25">
      <c r="A29" s="164"/>
      <c r="B29" s="165"/>
      <c r="C29" s="164"/>
      <c r="D29" s="164"/>
      <c r="E29" s="134" t="s">
        <v>78</v>
      </c>
      <c r="F29" s="165"/>
      <c r="G29" s="165"/>
      <c r="H29" s="165"/>
      <c r="I29" s="176"/>
      <c r="J29" s="179"/>
      <c r="K29" s="185"/>
    </row>
    <row r="30" spans="1:12" x14ac:dyDescent="0.25">
      <c r="A30" s="177" t="s">
        <v>110</v>
      </c>
      <c r="B30" s="171" t="s">
        <v>142</v>
      </c>
      <c r="C30" s="172" t="s">
        <v>89</v>
      </c>
      <c r="D30" s="173" t="s">
        <v>112</v>
      </c>
      <c r="E30" s="174" t="s">
        <v>113</v>
      </c>
      <c r="F30" s="175">
        <v>41534</v>
      </c>
      <c r="G30" s="170">
        <v>0.45</v>
      </c>
      <c r="H30" s="197">
        <v>0.55000000000000004</v>
      </c>
      <c r="I30" s="199">
        <v>1537</v>
      </c>
      <c r="J30" s="191">
        <f>I30*6</f>
        <v>9222</v>
      </c>
      <c r="K30" s="195">
        <f t="shared" ref="K30" si="3">J30/F30</f>
        <v>0.22203495931044445</v>
      </c>
    </row>
    <row r="31" spans="1:12" x14ac:dyDescent="0.25">
      <c r="A31" s="178"/>
      <c r="B31" s="171"/>
      <c r="C31" s="172"/>
      <c r="D31" s="173"/>
      <c r="E31" s="174"/>
      <c r="F31" s="175"/>
      <c r="G31" s="170"/>
      <c r="H31" s="197"/>
      <c r="I31" s="199"/>
      <c r="J31" s="192"/>
      <c r="K31" s="196"/>
      <c r="L31" s="41"/>
    </row>
  </sheetData>
  <mergeCells count="115">
    <mergeCell ref="H30:H31"/>
    <mergeCell ref="I30:I31"/>
    <mergeCell ref="J30:J31"/>
    <mergeCell ref="K30:K31"/>
    <mergeCell ref="I28:I29"/>
    <mergeCell ref="J28:J29"/>
    <mergeCell ref="K28:K29"/>
    <mergeCell ref="A30:A31"/>
    <mergeCell ref="B30:B31"/>
    <mergeCell ref="C30:C31"/>
    <mergeCell ref="D30:D31"/>
    <mergeCell ref="E30:E31"/>
    <mergeCell ref="F30:F31"/>
    <mergeCell ref="G30:G31"/>
    <mergeCell ref="B26:K26"/>
    <mergeCell ref="D27:H27"/>
    <mergeCell ref="I27:K27"/>
    <mergeCell ref="A28:A29"/>
    <mergeCell ref="B28:B29"/>
    <mergeCell ref="C28:C29"/>
    <mergeCell ref="D28:D29"/>
    <mergeCell ref="F28:F29"/>
    <mergeCell ref="G28:G29"/>
    <mergeCell ref="H28:H29"/>
    <mergeCell ref="F23:F24"/>
    <mergeCell ref="G23:G24"/>
    <mergeCell ref="H23:H24"/>
    <mergeCell ref="I23:I24"/>
    <mergeCell ref="J23:J24"/>
    <mergeCell ref="K23:K24"/>
    <mergeCell ref="G21:G22"/>
    <mergeCell ref="H21:H22"/>
    <mergeCell ref="I21:I22"/>
    <mergeCell ref="J21:J22"/>
    <mergeCell ref="K21:K22"/>
    <mergeCell ref="F21:F22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D15:D16"/>
    <mergeCell ref="F15:F16"/>
    <mergeCell ref="G15:G16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K17:K18"/>
    <mergeCell ref="B13:K13"/>
    <mergeCell ref="D14:H14"/>
    <mergeCell ref="I14:K14"/>
    <mergeCell ref="I8:I9"/>
    <mergeCell ref="J8:J9"/>
    <mergeCell ref="K8:K9"/>
    <mergeCell ref="A19:A20"/>
    <mergeCell ref="B19:B20"/>
    <mergeCell ref="C19:C20"/>
    <mergeCell ref="D19:D20"/>
    <mergeCell ref="E19:E20"/>
    <mergeCell ref="H15:H16"/>
    <mergeCell ref="I15:I16"/>
    <mergeCell ref="J15:J16"/>
    <mergeCell ref="K15:K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A10:A11"/>
    <mergeCell ref="B10:B11"/>
    <mergeCell ref="C10:C11"/>
    <mergeCell ref="D10:D11"/>
    <mergeCell ref="E10:E11"/>
    <mergeCell ref="F10:F11"/>
    <mergeCell ref="G10:G11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H10:H11"/>
    <mergeCell ref="I10:I11"/>
    <mergeCell ref="J10:J11"/>
    <mergeCell ref="K10:K11"/>
    <mergeCell ref="B4:K4"/>
    <mergeCell ref="I5:K5"/>
    <mergeCell ref="A6:A7"/>
    <mergeCell ref="B6:B7"/>
    <mergeCell ref="C6:C7"/>
    <mergeCell ref="D6:D7"/>
    <mergeCell ref="F6:F7"/>
    <mergeCell ref="G6:G7"/>
    <mergeCell ref="H6:H7"/>
    <mergeCell ref="I6:I7"/>
  </mergeCells>
  <printOptions horizontalCentered="1"/>
  <pageMargins left="0.25" right="0.25" top="0.25" bottom="0.25" header="0.3" footer="0.3"/>
  <pageSetup paperSize="9" scale="6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9912-7E4B-4A4A-BB79-223696C50346}">
  <dimension ref="A1:L31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47.85546875" style="4" customWidth="1"/>
    <col min="2" max="2" width="51.7109375" style="4" customWidth="1"/>
    <col min="3" max="3" width="32.7109375" style="4" bestFit="1" customWidth="1"/>
    <col min="4" max="5" width="17.85546875" style="4" bestFit="1" customWidth="1"/>
    <col min="6" max="6" width="9.85546875" style="4" bestFit="1" customWidth="1"/>
    <col min="7" max="7" width="5.7109375" style="4" bestFit="1" customWidth="1"/>
    <col min="8" max="8" width="7.85546875" style="4" bestFit="1" customWidth="1"/>
    <col min="9" max="9" width="8.7109375" style="4" bestFit="1" customWidth="1"/>
    <col min="10" max="10" width="10.85546875" style="4" bestFit="1" customWidth="1"/>
    <col min="11" max="11" width="13.42578125" style="4" customWidth="1"/>
    <col min="12" max="16384" width="9.140625" style="4"/>
  </cols>
  <sheetData>
    <row r="1" spans="1:11" x14ac:dyDescent="0.25">
      <c r="A1" s="80" t="s">
        <v>114</v>
      </c>
      <c r="J1" s="85" t="s">
        <v>118</v>
      </c>
      <c r="K1" s="86">
        <v>43100</v>
      </c>
    </row>
    <row r="2" spans="1:11" x14ac:dyDescent="0.25">
      <c r="A2" t="s">
        <v>115</v>
      </c>
    </row>
    <row r="4" spans="1:11" ht="15" customHeight="1" x14ac:dyDescent="0.25">
      <c r="A4" s="136" t="s">
        <v>69</v>
      </c>
      <c r="B4" s="186" t="s">
        <v>70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1:11" x14ac:dyDescent="0.25">
      <c r="A5" s="136" t="s">
        <v>71</v>
      </c>
      <c r="B5" s="78" t="s">
        <v>72</v>
      </c>
      <c r="C5" s="78"/>
      <c r="D5" s="82"/>
      <c r="E5" s="83"/>
      <c r="F5" s="83"/>
      <c r="G5" s="83"/>
      <c r="H5" s="84"/>
      <c r="I5" s="181" t="s">
        <v>81</v>
      </c>
      <c r="J5" s="182"/>
      <c r="K5" s="183"/>
    </row>
    <row r="6" spans="1:11" ht="15" customHeight="1" x14ac:dyDescent="0.25">
      <c r="A6" s="164" t="s">
        <v>73</v>
      </c>
      <c r="B6" s="165" t="s">
        <v>74</v>
      </c>
      <c r="C6" s="164" t="s">
        <v>75</v>
      </c>
      <c r="D6" s="164" t="s">
        <v>76</v>
      </c>
      <c r="E6" s="137" t="s">
        <v>77</v>
      </c>
      <c r="F6" s="165" t="s">
        <v>39</v>
      </c>
      <c r="G6" s="165" t="s">
        <v>79</v>
      </c>
      <c r="H6" s="165" t="s">
        <v>80</v>
      </c>
      <c r="I6" s="176" t="s">
        <v>116</v>
      </c>
      <c r="J6" s="179" t="s">
        <v>117</v>
      </c>
      <c r="K6" s="184" t="s">
        <v>134</v>
      </c>
    </row>
    <row r="7" spans="1:11" x14ac:dyDescent="0.25">
      <c r="A7" s="164"/>
      <c r="B7" s="165"/>
      <c r="C7" s="164"/>
      <c r="D7" s="164"/>
      <c r="E7" s="137" t="s">
        <v>78</v>
      </c>
      <c r="F7" s="165"/>
      <c r="G7" s="165"/>
      <c r="H7" s="165"/>
      <c r="I7" s="176"/>
      <c r="J7" s="179"/>
      <c r="K7" s="185"/>
    </row>
    <row r="8" spans="1:11" x14ac:dyDescent="0.25">
      <c r="A8" s="171" t="s">
        <v>82</v>
      </c>
      <c r="B8" s="171" t="s">
        <v>83</v>
      </c>
      <c r="C8" s="172" t="s">
        <v>84</v>
      </c>
      <c r="D8" s="173" t="s">
        <v>85</v>
      </c>
      <c r="E8" s="174" t="s">
        <v>86</v>
      </c>
      <c r="F8" s="175">
        <v>344258</v>
      </c>
      <c r="G8" s="170">
        <v>0.45</v>
      </c>
      <c r="H8" s="197">
        <v>0.55000000000000004</v>
      </c>
      <c r="I8" s="198">
        <v>177443</v>
      </c>
      <c r="J8" s="191">
        <f>I8*6</f>
        <v>1064658</v>
      </c>
      <c r="K8" s="193">
        <f>J8/F8</f>
        <v>3.0926165840735726</v>
      </c>
    </row>
    <row r="9" spans="1:11" x14ac:dyDescent="0.25">
      <c r="A9" s="171"/>
      <c r="B9" s="171"/>
      <c r="C9" s="172"/>
      <c r="D9" s="173"/>
      <c r="E9" s="174"/>
      <c r="F9" s="175"/>
      <c r="G9" s="170"/>
      <c r="H9" s="197"/>
      <c r="I9" s="198"/>
      <c r="J9" s="192"/>
      <c r="K9" s="194"/>
    </row>
    <row r="10" spans="1:11" x14ac:dyDescent="0.25">
      <c r="A10" s="171" t="s">
        <v>87</v>
      </c>
      <c r="B10" s="171" t="s">
        <v>88</v>
      </c>
      <c r="C10" s="172" t="s">
        <v>89</v>
      </c>
      <c r="D10" s="173" t="s">
        <v>85</v>
      </c>
      <c r="E10" s="174" t="s">
        <v>90</v>
      </c>
      <c r="F10" s="175">
        <v>1190204</v>
      </c>
      <c r="G10" s="170">
        <v>0.45</v>
      </c>
      <c r="H10" s="197">
        <v>0.55000000000000004</v>
      </c>
      <c r="I10" s="198">
        <v>318415</v>
      </c>
      <c r="J10" s="191">
        <f>I10*6</f>
        <v>1910490</v>
      </c>
      <c r="K10" s="193">
        <f>J10/F10</f>
        <v>1.6051786080369415</v>
      </c>
    </row>
    <row r="11" spans="1:11" x14ac:dyDescent="0.25">
      <c r="A11" s="171"/>
      <c r="B11" s="171"/>
      <c r="C11" s="172"/>
      <c r="D11" s="173"/>
      <c r="E11" s="174"/>
      <c r="F11" s="175"/>
      <c r="G11" s="170"/>
      <c r="H11" s="197"/>
      <c r="I11" s="198"/>
      <c r="J11" s="192"/>
      <c r="K11" s="194"/>
    </row>
    <row r="12" spans="1:11" x14ac:dyDescent="0.25">
      <c r="J12" s="81"/>
    </row>
    <row r="13" spans="1:11" ht="15" customHeight="1" x14ac:dyDescent="0.25">
      <c r="A13" s="136" t="s">
        <v>91</v>
      </c>
      <c r="B13" s="186" t="s">
        <v>92</v>
      </c>
      <c r="C13" s="187"/>
      <c r="D13" s="187"/>
      <c r="E13" s="187"/>
      <c r="F13" s="187"/>
      <c r="G13" s="187"/>
      <c r="H13" s="187"/>
      <c r="I13" s="187"/>
      <c r="J13" s="187"/>
      <c r="K13" s="188"/>
    </row>
    <row r="14" spans="1:11" x14ac:dyDescent="0.25">
      <c r="A14" s="136" t="s">
        <v>71</v>
      </c>
      <c r="B14" s="78" t="s">
        <v>93</v>
      </c>
      <c r="C14" s="78"/>
      <c r="D14" s="180"/>
      <c r="E14" s="180"/>
      <c r="F14" s="180"/>
      <c r="G14" s="180"/>
      <c r="H14" s="180"/>
      <c r="I14" s="181" t="s">
        <v>81</v>
      </c>
      <c r="J14" s="182"/>
      <c r="K14" s="183"/>
    </row>
    <row r="15" spans="1:11" ht="15" customHeight="1" x14ac:dyDescent="0.25">
      <c r="A15" s="164" t="s">
        <v>73</v>
      </c>
      <c r="B15" s="165" t="s">
        <v>74</v>
      </c>
      <c r="C15" s="164" t="s">
        <v>75</v>
      </c>
      <c r="D15" s="166" t="s">
        <v>76</v>
      </c>
      <c r="E15" s="137" t="s">
        <v>77</v>
      </c>
      <c r="F15" s="168" t="s">
        <v>39</v>
      </c>
      <c r="G15" s="168" t="s">
        <v>79</v>
      </c>
      <c r="H15" s="168" t="s">
        <v>80</v>
      </c>
      <c r="I15" s="176" t="s">
        <v>116</v>
      </c>
      <c r="J15" s="179" t="s">
        <v>117</v>
      </c>
      <c r="K15" s="184" t="s">
        <v>134</v>
      </c>
    </row>
    <row r="16" spans="1:11" x14ac:dyDescent="0.25">
      <c r="A16" s="164"/>
      <c r="B16" s="165"/>
      <c r="C16" s="164"/>
      <c r="D16" s="167"/>
      <c r="E16" s="137" t="s">
        <v>78</v>
      </c>
      <c r="F16" s="169"/>
      <c r="G16" s="169"/>
      <c r="H16" s="169"/>
      <c r="I16" s="176"/>
      <c r="J16" s="179"/>
      <c r="K16" s="185"/>
    </row>
    <row r="17" spans="1:12" x14ac:dyDescent="0.25">
      <c r="A17" s="171" t="s">
        <v>94</v>
      </c>
      <c r="B17" s="171" t="s">
        <v>95</v>
      </c>
      <c r="C17" s="172" t="s">
        <v>96</v>
      </c>
      <c r="D17" s="173" t="s">
        <v>85</v>
      </c>
      <c r="E17" s="174" t="s">
        <v>97</v>
      </c>
      <c r="F17" s="175">
        <v>256530</v>
      </c>
      <c r="G17" s="170">
        <v>0.45</v>
      </c>
      <c r="H17" s="197">
        <v>0.55000000000000004</v>
      </c>
      <c r="I17" s="199">
        <v>19575</v>
      </c>
      <c r="J17" s="191">
        <f>I17*6</f>
        <v>117450</v>
      </c>
      <c r="K17" s="195">
        <f>J17/F17</f>
        <v>0.45784118816512687</v>
      </c>
      <c r="L17" s="4" t="s">
        <v>140</v>
      </c>
    </row>
    <row r="18" spans="1:12" x14ac:dyDescent="0.25">
      <c r="A18" s="171"/>
      <c r="B18" s="171"/>
      <c r="C18" s="172"/>
      <c r="D18" s="173"/>
      <c r="E18" s="174"/>
      <c r="F18" s="175"/>
      <c r="G18" s="170"/>
      <c r="H18" s="197"/>
      <c r="I18" s="199"/>
      <c r="J18" s="192"/>
      <c r="K18" s="196"/>
      <c r="L18" s="4" t="s">
        <v>141</v>
      </c>
    </row>
    <row r="19" spans="1:12" x14ac:dyDescent="0.25">
      <c r="A19" s="171" t="s">
        <v>98</v>
      </c>
      <c r="B19" s="171" t="s">
        <v>99</v>
      </c>
      <c r="C19" s="172" t="s">
        <v>96</v>
      </c>
      <c r="D19" s="173" t="s">
        <v>85</v>
      </c>
      <c r="E19" s="174" t="s">
        <v>100</v>
      </c>
      <c r="F19" s="175">
        <v>12234</v>
      </c>
      <c r="G19" s="170">
        <v>0.45</v>
      </c>
      <c r="H19" s="197">
        <v>0.55000000000000004</v>
      </c>
      <c r="I19" s="199">
        <v>5349</v>
      </c>
      <c r="J19" s="191">
        <f>I19*6</f>
        <v>32094</v>
      </c>
      <c r="K19" s="193">
        <f t="shared" ref="K19" si="0">J19/F19</f>
        <v>2.6233447768513978</v>
      </c>
    </row>
    <row r="20" spans="1:12" x14ac:dyDescent="0.25">
      <c r="A20" s="171"/>
      <c r="B20" s="171"/>
      <c r="C20" s="172"/>
      <c r="D20" s="173"/>
      <c r="E20" s="174"/>
      <c r="F20" s="175"/>
      <c r="G20" s="170"/>
      <c r="H20" s="197"/>
      <c r="I20" s="199"/>
      <c r="J20" s="192"/>
      <c r="K20" s="194"/>
    </row>
    <row r="21" spans="1:12" x14ac:dyDescent="0.25">
      <c r="A21" s="171" t="s">
        <v>101</v>
      </c>
      <c r="B21" s="171" t="s">
        <v>102</v>
      </c>
      <c r="C21" s="172" t="s">
        <v>89</v>
      </c>
      <c r="D21" s="173" t="s">
        <v>85</v>
      </c>
      <c r="E21" s="174" t="s">
        <v>103</v>
      </c>
      <c r="F21" s="175">
        <v>382978</v>
      </c>
      <c r="G21" s="170">
        <v>0.45</v>
      </c>
      <c r="H21" s="197">
        <v>0.55000000000000004</v>
      </c>
      <c r="I21" s="199">
        <v>39148</v>
      </c>
      <c r="J21" s="191">
        <f>I21*6</f>
        <v>234888</v>
      </c>
      <c r="K21" s="200">
        <f t="shared" ref="K21" si="1">J21/F21</f>
        <v>0.61331982515966976</v>
      </c>
    </row>
    <row r="22" spans="1:12" x14ac:dyDescent="0.25">
      <c r="A22" s="171"/>
      <c r="B22" s="171"/>
      <c r="C22" s="172"/>
      <c r="D22" s="173"/>
      <c r="E22" s="174"/>
      <c r="F22" s="175"/>
      <c r="G22" s="170"/>
      <c r="H22" s="197"/>
      <c r="I22" s="199"/>
      <c r="J22" s="192"/>
      <c r="K22" s="201"/>
    </row>
    <row r="23" spans="1:12" x14ac:dyDescent="0.25">
      <c r="A23" s="171" t="s">
        <v>104</v>
      </c>
      <c r="B23" s="171" t="s">
        <v>105</v>
      </c>
      <c r="C23" s="172" t="s">
        <v>89</v>
      </c>
      <c r="D23" s="173" t="s">
        <v>85</v>
      </c>
      <c r="E23" s="174" t="s">
        <v>106</v>
      </c>
      <c r="F23" s="175">
        <v>100246</v>
      </c>
      <c r="G23" s="170">
        <v>0.45</v>
      </c>
      <c r="H23" s="197">
        <v>0.55000000000000004</v>
      </c>
      <c r="I23" s="199">
        <v>18965</v>
      </c>
      <c r="J23" s="191">
        <f>I23*6</f>
        <v>113790</v>
      </c>
      <c r="K23" s="200">
        <f t="shared" ref="K23" si="2">J23/F23</f>
        <v>1.1351076352173652</v>
      </c>
    </row>
    <row r="24" spans="1:12" x14ac:dyDescent="0.25">
      <c r="A24" s="171"/>
      <c r="B24" s="171"/>
      <c r="C24" s="172"/>
      <c r="D24" s="173"/>
      <c r="E24" s="174"/>
      <c r="F24" s="175"/>
      <c r="G24" s="170"/>
      <c r="H24" s="197"/>
      <c r="I24" s="199"/>
      <c r="J24" s="192"/>
      <c r="K24" s="201"/>
    </row>
    <row r="25" spans="1:12" x14ac:dyDescent="0.25">
      <c r="J25" s="81"/>
    </row>
    <row r="26" spans="1:12" ht="15" customHeight="1" x14ac:dyDescent="0.25">
      <c r="A26" s="136" t="s">
        <v>107</v>
      </c>
      <c r="B26" s="186" t="s">
        <v>108</v>
      </c>
      <c r="C26" s="187"/>
      <c r="D26" s="187"/>
      <c r="E26" s="187"/>
      <c r="F26" s="187"/>
      <c r="G26" s="187"/>
      <c r="H26" s="187"/>
      <c r="I26" s="187"/>
      <c r="J26" s="187"/>
      <c r="K26" s="188"/>
    </row>
    <row r="27" spans="1:12" x14ac:dyDescent="0.25">
      <c r="A27" s="136" t="s">
        <v>71</v>
      </c>
      <c r="B27" s="78" t="s">
        <v>109</v>
      </c>
      <c r="C27" s="78"/>
      <c r="D27" s="180"/>
      <c r="E27" s="180"/>
      <c r="F27" s="180"/>
      <c r="G27" s="180"/>
      <c r="H27" s="180"/>
      <c r="I27" s="181" t="s">
        <v>81</v>
      </c>
      <c r="J27" s="182"/>
      <c r="K27" s="183"/>
    </row>
    <row r="28" spans="1:12" ht="15" customHeight="1" x14ac:dyDescent="0.25">
      <c r="A28" s="164" t="s">
        <v>73</v>
      </c>
      <c r="B28" s="165" t="s">
        <v>74</v>
      </c>
      <c r="C28" s="164" t="s">
        <v>75</v>
      </c>
      <c r="D28" s="164" t="s">
        <v>76</v>
      </c>
      <c r="E28" s="137" t="s">
        <v>77</v>
      </c>
      <c r="F28" s="165" t="s">
        <v>39</v>
      </c>
      <c r="G28" s="165" t="s">
        <v>79</v>
      </c>
      <c r="H28" s="165" t="s">
        <v>80</v>
      </c>
      <c r="I28" s="176" t="s">
        <v>116</v>
      </c>
      <c r="J28" s="179" t="s">
        <v>117</v>
      </c>
      <c r="K28" s="184" t="s">
        <v>134</v>
      </c>
    </row>
    <row r="29" spans="1:12" x14ac:dyDescent="0.25">
      <c r="A29" s="164"/>
      <c r="B29" s="165"/>
      <c r="C29" s="164"/>
      <c r="D29" s="164"/>
      <c r="E29" s="137" t="s">
        <v>78</v>
      </c>
      <c r="F29" s="165"/>
      <c r="G29" s="165"/>
      <c r="H29" s="165"/>
      <c r="I29" s="176"/>
      <c r="J29" s="179"/>
      <c r="K29" s="185"/>
    </row>
    <row r="30" spans="1:12" x14ac:dyDescent="0.25">
      <c r="A30" s="177" t="s">
        <v>110</v>
      </c>
      <c r="B30" s="171" t="s">
        <v>142</v>
      </c>
      <c r="C30" s="172" t="s">
        <v>89</v>
      </c>
      <c r="D30" s="173" t="s">
        <v>112</v>
      </c>
      <c r="E30" s="174" t="s">
        <v>113</v>
      </c>
      <c r="F30" s="175">
        <v>41534</v>
      </c>
      <c r="G30" s="170">
        <v>0.45</v>
      </c>
      <c r="H30" s="197">
        <v>0.55000000000000004</v>
      </c>
      <c r="I30" s="199">
        <v>2437</v>
      </c>
      <c r="J30" s="191">
        <f>I30*6</f>
        <v>14622</v>
      </c>
      <c r="K30" s="195">
        <f t="shared" ref="K30" si="3">J30/F30</f>
        <v>0.35204892377329416</v>
      </c>
    </row>
    <row r="31" spans="1:12" x14ac:dyDescent="0.25">
      <c r="A31" s="178"/>
      <c r="B31" s="171"/>
      <c r="C31" s="172"/>
      <c r="D31" s="173"/>
      <c r="E31" s="174"/>
      <c r="F31" s="175"/>
      <c r="G31" s="170"/>
      <c r="H31" s="197"/>
      <c r="I31" s="199"/>
      <c r="J31" s="192"/>
      <c r="K31" s="196"/>
      <c r="L31" s="41"/>
    </row>
  </sheetData>
  <mergeCells count="115">
    <mergeCell ref="B4:K4"/>
    <mergeCell ref="I5:K5"/>
    <mergeCell ref="A6:A7"/>
    <mergeCell ref="B6:B7"/>
    <mergeCell ref="C6:C7"/>
    <mergeCell ref="D6:D7"/>
    <mergeCell ref="F6:F7"/>
    <mergeCell ref="G6:G7"/>
    <mergeCell ref="H6:H7"/>
    <mergeCell ref="I6:I7"/>
    <mergeCell ref="A10:A11"/>
    <mergeCell ref="B10:B11"/>
    <mergeCell ref="C10:C11"/>
    <mergeCell ref="D10:D11"/>
    <mergeCell ref="E10:E11"/>
    <mergeCell ref="F10:F11"/>
    <mergeCell ref="G10:G11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H10:H11"/>
    <mergeCell ref="I10:I11"/>
    <mergeCell ref="J10:J11"/>
    <mergeCell ref="K10:K11"/>
    <mergeCell ref="B13:K13"/>
    <mergeCell ref="D14:H14"/>
    <mergeCell ref="I14:K14"/>
    <mergeCell ref="I8:I9"/>
    <mergeCell ref="J8:J9"/>
    <mergeCell ref="K8:K9"/>
    <mergeCell ref="A19:A20"/>
    <mergeCell ref="B19:B20"/>
    <mergeCell ref="C19:C20"/>
    <mergeCell ref="D19:D20"/>
    <mergeCell ref="E19:E20"/>
    <mergeCell ref="H15:H16"/>
    <mergeCell ref="I15:I16"/>
    <mergeCell ref="J15:J16"/>
    <mergeCell ref="K15:K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F15:F16"/>
    <mergeCell ref="G15:G16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K17:K18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F23:F24"/>
    <mergeCell ref="G23:G24"/>
    <mergeCell ref="H23:H24"/>
    <mergeCell ref="I23:I24"/>
    <mergeCell ref="J23:J24"/>
    <mergeCell ref="K23:K24"/>
    <mergeCell ref="G21:G22"/>
    <mergeCell ref="H21:H22"/>
    <mergeCell ref="I21:I22"/>
    <mergeCell ref="J21:J22"/>
    <mergeCell ref="K21:K22"/>
    <mergeCell ref="F21:F22"/>
    <mergeCell ref="B26:K26"/>
    <mergeCell ref="D27:H27"/>
    <mergeCell ref="I27:K27"/>
    <mergeCell ref="A28:A29"/>
    <mergeCell ref="B28:B29"/>
    <mergeCell ref="C28:C29"/>
    <mergeCell ref="D28:D29"/>
    <mergeCell ref="F28:F29"/>
    <mergeCell ref="G28:G29"/>
    <mergeCell ref="H28:H29"/>
    <mergeCell ref="H30:H31"/>
    <mergeCell ref="I30:I31"/>
    <mergeCell ref="J30:J31"/>
    <mergeCell ref="K30:K31"/>
    <mergeCell ref="I28:I29"/>
    <mergeCell ref="J28:J29"/>
    <mergeCell ref="K28:K29"/>
    <mergeCell ref="A30:A31"/>
    <mergeCell ref="B30:B31"/>
    <mergeCell ref="C30:C31"/>
    <mergeCell ref="D30:D31"/>
    <mergeCell ref="E30:E31"/>
    <mergeCell ref="F30:F31"/>
    <mergeCell ref="G30:G31"/>
  </mergeCells>
  <printOptions horizontalCentered="1"/>
  <pageMargins left="0.25" right="0.25" top="0.25" bottom="0.25" header="0.3" footer="0.3"/>
  <pageSetup paperSize="9" scale="6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F33"/>
  <sheetViews>
    <sheetView showGridLines="0" zoomScale="80" zoomScaleNormal="80" workbookViewId="0">
      <selection activeCell="AG22" sqref="AG22"/>
    </sheetView>
  </sheetViews>
  <sheetFormatPr defaultRowHeight="15" outlineLevelCol="1" x14ac:dyDescent="0.25"/>
  <cols>
    <col min="1" max="1" width="42.28515625" style="4" customWidth="1"/>
    <col min="2" max="2" width="48.140625" style="4" customWidth="1"/>
    <col min="3" max="3" width="32.7109375" style="4" bestFit="1" customWidth="1"/>
    <col min="4" max="5" width="17.85546875" style="4" hidden="1" customWidth="1" outlineLevel="1"/>
    <col min="6" max="6" width="9.85546875" style="4" hidden="1" customWidth="1" outlineLevel="1"/>
    <col min="7" max="7" width="5.7109375" style="4" hidden="1" customWidth="1" outlineLevel="1"/>
    <col min="8" max="8" width="7.85546875" style="4" hidden="1" customWidth="1" outlineLevel="1"/>
    <col min="9" max="9" width="8" style="4" customWidth="1" collapsed="1"/>
    <col min="10" max="10" width="10.85546875" style="4" customWidth="1"/>
    <col min="11" max="11" width="13.42578125" style="40" customWidth="1"/>
    <col min="12" max="12" width="8" style="4" customWidth="1"/>
    <col min="13" max="13" width="10.85546875" style="4" customWidth="1"/>
    <col min="14" max="14" width="13.42578125" style="40" customWidth="1"/>
    <col min="15" max="15" width="8" style="4" customWidth="1"/>
    <col min="16" max="16" width="10.85546875" style="4" customWidth="1"/>
    <col min="17" max="17" width="13.42578125" style="40" customWidth="1"/>
    <col min="18" max="18" width="8" style="4" customWidth="1"/>
    <col min="19" max="19" width="10.85546875" style="4" customWidth="1"/>
    <col min="20" max="20" width="13.42578125" style="4" customWidth="1"/>
    <col min="21" max="21" width="8" style="4" customWidth="1"/>
    <col min="22" max="22" width="10.85546875" style="4" customWidth="1"/>
    <col min="23" max="23" width="13.42578125" style="4" customWidth="1"/>
    <col min="24" max="24" width="8" style="4" customWidth="1"/>
    <col min="25" max="25" width="10.85546875" style="4" customWidth="1"/>
    <col min="26" max="26" width="13.42578125" style="4" customWidth="1"/>
    <col min="27" max="27" width="8" style="4" customWidth="1"/>
    <col min="28" max="28" width="10.85546875" style="4" customWidth="1"/>
    <col min="29" max="29" width="13.42578125" style="4" customWidth="1"/>
    <col min="30" max="30" width="9.140625" style="4"/>
    <col min="31" max="31" width="10.85546875" style="4" bestFit="1" customWidth="1"/>
    <col min="32" max="32" width="13.42578125" style="4" customWidth="1"/>
    <col min="33" max="16384" width="9.140625" style="4"/>
  </cols>
  <sheetData>
    <row r="1" spans="1:32" ht="23.25" x14ac:dyDescent="0.35">
      <c r="A1" s="124" t="s">
        <v>138</v>
      </c>
    </row>
    <row r="3" spans="1:32" x14ac:dyDescent="0.25">
      <c r="A3" s="80" t="s">
        <v>114</v>
      </c>
      <c r="J3" s="85"/>
    </row>
    <row r="4" spans="1:32" x14ac:dyDescent="0.25">
      <c r="A4" t="s">
        <v>115</v>
      </c>
    </row>
    <row r="5" spans="1:32" ht="15.75" thickBot="1" x14ac:dyDescent="0.3"/>
    <row r="6" spans="1:32" ht="15" customHeight="1" x14ac:dyDescent="0.25">
      <c r="A6" s="122" t="s">
        <v>69</v>
      </c>
      <c r="B6" s="241" t="s">
        <v>70</v>
      </c>
      <c r="C6" s="241"/>
      <c r="D6" s="241"/>
      <c r="E6" s="241"/>
      <c r="F6" s="241"/>
      <c r="G6" s="241"/>
      <c r="H6" s="242"/>
      <c r="I6" s="207">
        <v>42886</v>
      </c>
      <c r="J6" s="208"/>
      <c r="K6" s="209"/>
      <c r="L6" s="207">
        <v>42916</v>
      </c>
      <c r="M6" s="208"/>
      <c r="N6" s="209"/>
      <c r="O6" s="207">
        <v>42946</v>
      </c>
      <c r="P6" s="208"/>
      <c r="Q6" s="209"/>
      <c r="R6" s="207">
        <v>42978</v>
      </c>
      <c r="S6" s="208"/>
      <c r="T6" s="209"/>
      <c r="U6" s="207">
        <v>43008</v>
      </c>
      <c r="V6" s="208"/>
      <c r="W6" s="209"/>
      <c r="X6" s="207">
        <v>43039</v>
      </c>
      <c r="Y6" s="208"/>
      <c r="Z6" s="209"/>
      <c r="AA6" s="207">
        <v>43069</v>
      </c>
      <c r="AB6" s="208"/>
      <c r="AC6" s="209"/>
      <c r="AD6" s="207">
        <v>43100</v>
      </c>
      <c r="AE6" s="208"/>
      <c r="AF6" s="209"/>
    </row>
    <row r="7" spans="1:32" ht="15" customHeight="1" x14ac:dyDescent="0.25">
      <c r="A7" s="122" t="s">
        <v>71</v>
      </c>
      <c r="B7" s="78" t="s">
        <v>72</v>
      </c>
      <c r="C7" s="78"/>
      <c r="D7" s="82"/>
      <c r="E7" s="83"/>
      <c r="F7" s="83"/>
      <c r="G7" s="83"/>
      <c r="H7" s="83"/>
      <c r="I7" s="213" t="s">
        <v>81</v>
      </c>
      <c r="J7" s="182"/>
      <c r="K7" s="214"/>
      <c r="L7" s="213" t="s">
        <v>81</v>
      </c>
      <c r="M7" s="182"/>
      <c r="N7" s="214"/>
      <c r="O7" s="213" t="s">
        <v>81</v>
      </c>
      <c r="P7" s="182"/>
      <c r="Q7" s="214"/>
      <c r="R7" s="213" t="s">
        <v>81</v>
      </c>
      <c r="S7" s="182"/>
      <c r="T7" s="214"/>
      <c r="U7" s="213" t="s">
        <v>81</v>
      </c>
      <c r="V7" s="182"/>
      <c r="W7" s="214"/>
      <c r="X7" s="213" t="s">
        <v>81</v>
      </c>
      <c r="Y7" s="182"/>
      <c r="Z7" s="214"/>
      <c r="AA7" s="213" t="s">
        <v>81</v>
      </c>
      <c r="AB7" s="182"/>
      <c r="AC7" s="214"/>
      <c r="AD7" s="213" t="s">
        <v>81</v>
      </c>
      <c r="AE7" s="182"/>
      <c r="AF7" s="214"/>
    </row>
    <row r="8" spans="1:32" ht="15" customHeight="1" x14ac:dyDescent="0.25">
      <c r="A8" s="164" t="s">
        <v>73</v>
      </c>
      <c r="B8" s="165" t="s">
        <v>74</v>
      </c>
      <c r="C8" s="164" t="s">
        <v>75</v>
      </c>
      <c r="D8" s="164" t="s">
        <v>76</v>
      </c>
      <c r="E8" s="123" t="s">
        <v>77</v>
      </c>
      <c r="F8" s="165" t="s">
        <v>39</v>
      </c>
      <c r="G8" s="165" t="s">
        <v>79</v>
      </c>
      <c r="H8" s="249" t="s">
        <v>80</v>
      </c>
      <c r="I8" s="215" t="s">
        <v>116</v>
      </c>
      <c r="J8" s="179" t="s">
        <v>117</v>
      </c>
      <c r="K8" s="230" t="s">
        <v>134</v>
      </c>
      <c r="L8" s="215" t="s">
        <v>116</v>
      </c>
      <c r="M8" s="179" t="s">
        <v>117</v>
      </c>
      <c r="N8" s="230" t="s">
        <v>134</v>
      </c>
      <c r="O8" s="215" t="s">
        <v>116</v>
      </c>
      <c r="P8" s="179" t="s">
        <v>117</v>
      </c>
      <c r="Q8" s="230" t="s">
        <v>134</v>
      </c>
      <c r="R8" s="215" t="s">
        <v>116</v>
      </c>
      <c r="S8" s="179" t="s">
        <v>117</v>
      </c>
      <c r="T8" s="216" t="s">
        <v>134</v>
      </c>
      <c r="U8" s="215" t="s">
        <v>116</v>
      </c>
      <c r="V8" s="179" t="s">
        <v>117</v>
      </c>
      <c r="W8" s="216" t="s">
        <v>134</v>
      </c>
      <c r="X8" s="215" t="s">
        <v>116</v>
      </c>
      <c r="Y8" s="179" t="s">
        <v>117</v>
      </c>
      <c r="Z8" s="216" t="s">
        <v>134</v>
      </c>
      <c r="AA8" s="215" t="s">
        <v>116</v>
      </c>
      <c r="AB8" s="179" t="s">
        <v>117</v>
      </c>
      <c r="AC8" s="216" t="s">
        <v>134</v>
      </c>
      <c r="AD8" s="215" t="s">
        <v>116</v>
      </c>
      <c r="AE8" s="179" t="s">
        <v>117</v>
      </c>
      <c r="AF8" s="216" t="s">
        <v>134</v>
      </c>
    </row>
    <row r="9" spans="1:32" x14ac:dyDescent="0.25">
      <c r="A9" s="164"/>
      <c r="B9" s="165"/>
      <c r="C9" s="164"/>
      <c r="D9" s="164"/>
      <c r="E9" s="123" t="s">
        <v>78</v>
      </c>
      <c r="F9" s="165"/>
      <c r="G9" s="165"/>
      <c r="H9" s="249"/>
      <c r="I9" s="215"/>
      <c r="J9" s="179"/>
      <c r="K9" s="231"/>
      <c r="L9" s="215"/>
      <c r="M9" s="179"/>
      <c r="N9" s="231"/>
      <c r="O9" s="215"/>
      <c r="P9" s="179"/>
      <c r="Q9" s="231"/>
      <c r="R9" s="215"/>
      <c r="S9" s="179"/>
      <c r="T9" s="217"/>
      <c r="U9" s="215"/>
      <c r="V9" s="179"/>
      <c r="W9" s="217"/>
      <c r="X9" s="215"/>
      <c r="Y9" s="179"/>
      <c r="Z9" s="217"/>
      <c r="AA9" s="215"/>
      <c r="AB9" s="179"/>
      <c r="AC9" s="217"/>
      <c r="AD9" s="215"/>
      <c r="AE9" s="179"/>
      <c r="AF9" s="217"/>
    </row>
    <row r="10" spans="1:32" x14ac:dyDescent="0.25">
      <c r="A10" s="171" t="s">
        <v>82</v>
      </c>
      <c r="B10" s="171" t="s">
        <v>83</v>
      </c>
      <c r="C10" s="172" t="s">
        <v>84</v>
      </c>
      <c r="D10" s="173" t="s">
        <v>85</v>
      </c>
      <c r="E10" s="174" t="s">
        <v>86</v>
      </c>
      <c r="F10" s="175">
        <v>344258</v>
      </c>
      <c r="G10" s="170">
        <v>0.45</v>
      </c>
      <c r="H10" s="197">
        <v>0.55000000000000004</v>
      </c>
      <c r="I10" s="227">
        <v>61875</v>
      </c>
      <c r="J10" s="191">
        <f>I10*6</f>
        <v>371250</v>
      </c>
      <c r="K10" s="210">
        <f>J10/F10</f>
        <v>1.0784063115454108</v>
      </c>
      <c r="L10" s="234">
        <v>63591</v>
      </c>
      <c r="M10" s="236">
        <f>L10*6</f>
        <v>381546</v>
      </c>
      <c r="N10" s="232">
        <f>M10/F10</f>
        <v>1.10831411325227</v>
      </c>
      <c r="O10" s="227">
        <v>66361</v>
      </c>
      <c r="P10" s="191">
        <f>O10*6</f>
        <v>398166</v>
      </c>
      <c r="Q10" s="210">
        <f>P10/F10</f>
        <v>1.1565918584317576</v>
      </c>
      <c r="R10" s="227">
        <v>77561</v>
      </c>
      <c r="S10" s="191">
        <f>R10*6</f>
        <v>465366</v>
      </c>
      <c r="T10" s="219">
        <f>S10/F10</f>
        <v>1.3517942938145229</v>
      </c>
      <c r="U10" s="227">
        <v>98067</v>
      </c>
      <c r="V10" s="191">
        <f>U10*6</f>
        <v>588402</v>
      </c>
      <c r="W10" s="219">
        <f>V10/F10</f>
        <v>1.7091890384537178</v>
      </c>
      <c r="X10" s="227">
        <v>129840</v>
      </c>
      <c r="Y10" s="191">
        <f>X10*6</f>
        <v>779040</v>
      </c>
      <c r="Z10" s="219">
        <f>Y10/F10</f>
        <v>2.2629539473302001</v>
      </c>
      <c r="AA10" s="198">
        <v>164092</v>
      </c>
      <c r="AB10" s="191">
        <f>AA10*6</f>
        <v>984552</v>
      </c>
      <c r="AC10" s="219">
        <f>AB10/F10</f>
        <v>2.8599248238239925</v>
      </c>
      <c r="AD10" s="221">
        <v>177443</v>
      </c>
      <c r="AE10" s="191">
        <f>AD10*6</f>
        <v>1064658</v>
      </c>
      <c r="AF10" s="219">
        <f>AE10/F10</f>
        <v>3.0926165840735726</v>
      </c>
    </row>
    <row r="11" spans="1:32" x14ac:dyDescent="0.25">
      <c r="A11" s="171"/>
      <c r="B11" s="171"/>
      <c r="C11" s="172"/>
      <c r="D11" s="173"/>
      <c r="E11" s="174"/>
      <c r="F11" s="175"/>
      <c r="G11" s="170"/>
      <c r="H11" s="197"/>
      <c r="I11" s="228"/>
      <c r="J11" s="192"/>
      <c r="K11" s="211"/>
      <c r="L11" s="235"/>
      <c r="M11" s="237"/>
      <c r="N11" s="238"/>
      <c r="O11" s="228"/>
      <c r="P11" s="192"/>
      <c r="Q11" s="211"/>
      <c r="R11" s="228"/>
      <c r="S11" s="192"/>
      <c r="T11" s="220"/>
      <c r="U11" s="228"/>
      <c r="V11" s="192"/>
      <c r="W11" s="220"/>
      <c r="X11" s="228"/>
      <c r="Y11" s="192"/>
      <c r="Z11" s="220"/>
      <c r="AA11" s="198"/>
      <c r="AB11" s="192"/>
      <c r="AC11" s="220"/>
      <c r="AD11" s="221"/>
      <c r="AE11" s="192"/>
      <c r="AF11" s="220"/>
    </row>
    <row r="12" spans="1:32" x14ac:dyDescent="0.25">
      <c r="A12" s="171" t="s">
        <v>87</v>
      </c>
      <c r="B12" s="171" t="s">
        <v>88</v>
      </c>
      <c r="C12" s="172" t="s">
        <v>89</v>
      </c>
      <c r="D12" s="173" t="s">
        <v>85</v>
      </c>
      <c r="E12" s="174" t="s">
        <v>90</v>
      </c>
      <c r="F12" s="175">
        <v>1190204</v>
      </c>
      <c r="G12" s="170">
        <v>0.45</v>
      </c>
      <c r="H12" s="197">
        <v>0.55000000000000004</v>
      </c>
      <c r="I12" s="227">
        <v>173417</v>
      </c>
      <c r="J12" s="191">
        <f>I12*6</f>
        <v>1040502</v>
      </c>
      <c r="K12" s="210">
        <f>J12/F12</f>
        <v>0.87422156201793977</v>
      </c>
      <c r="L12" s="234">
        <v>188170</v>
      </c>
      <c r="M12" s="236">
        <f>L12*6</f>
        <v>1129020</v>
      </c>
      <c r="N12" s="232">
        <f>M12/F12</f>
        <v>0.94859368646047237</v>
      </c>
      <c r="O12" s="227">
        <v>249001</v>
      </c>
      <c r="P12" s="191">
        <f>O12*6</f>
        <v>1494006</v>
      </c>
      <c r="Q12" s="210">
        <f>P12/F12</f>
        <v>1.2552520408266146</v>
      </c>
      <c r="R12" s="227">
        <v>264058</v>
      </c>
      <c r="S12" s="191">
        <f>R12*6</f>
        <v>1584348</v>
      </c>
      <c r="T12" s="219">
        <f>S12/F12</f>
        <v>1.3311566756623234</v>
      </c>
      <c r="U12" s="227">
        <v>270515</v>
      </c>
      <c r="V12" s="191">
        <f>U12*6</f>
        <v>1623090</v>
      </c>
      <c r="W12" s="219">
        <f>V12/F12</f>
        <v>1.3637073980594923</v>
      </c>
      <c r="X12" s="227">
        <v>280063</v>
      </c>
      <c r="Y12" s="191">
        <f>X12*6</f>
        <v>1680378</v>
      </c>
      <c r="Z12" s="219">
        <f>Y12/F12</f>
        <v>1.41184032317149</v>
      </c>
      <c r="AA12" s="221">
        <v>286928</v>
      </c>
      <c r="AB12" s="191">
        <f>AA12*6</f>
        <v>1721568</v>
      </c>
      <c r="AC12" s="219">
        <f>AB12/F12</f>
        <v>1.4464478358331849</v>
      </c>
      <c r="AD12" s="221">
        <v>318415</v>
      </c>
      <c r="AE12" s="191">
        <f>AD12*6</f>
        <v>1910490</v>
      </c>
      <c r="AF12" s="219">
        <f>AE12/F12</f>
        <v>1.6051786080369415</v>
      </c>
    </row>
    <row r="13" spans="1:32" ht="15.75" thickBot="1" x14ac:dyDescent="0.3">
      <c r="A13" s="171"/>
      <c r="B13" s="171"/>
      <c r="C13" s="172"/>
      <c r="D13" s="173"/>
      <c r="E13" s="174"/>
      <c r="F13" s="175"/>
      <c r="G13" s="170"/>
      <c r="H13" s="197"/>
      <c r="I13" s="229"/>
      <c r="J13" s="204"/>
      <c r="K13" s="212"/>
      <c r="L13" s="239"/>
      <c r="M13" s="240"/>
      <c r="N13" s="233"/>
      <c r="O13" s="229"/>
      <c r="P13" s="204"/>
      <c r="Q13" s="212"/>
      <c r="R13" s="229"/>
      <c r="S13" s="204"/>
      <c r="T13" s="223"/>
      <c r="U13" s="229"/>
      <c r="V13" s="204"/>
      <c r="W13" s="223"/>
      <c r="X13" s="229"/>
      <c r="Y13" s="204"/>
      <c r="Z13" s="223"/>
      <c r="AA13" s="222"/>
      <c r="AB13" s="204"/>
      <c r="AC13" s="223"/>
      <c r="AD13" s="222"/>
      <c r="AE13" s="204"/>
      <c r="AF13" s="223"/>
    </row>
    <row r="14" spans="1:32" ht="15.75" thickBot="1" x14ac:dyDescent="0.3">
      <c r="J14" s="81"/>
    </row>
    <row r="15" spans="1:32" ht="15" customHeight="1" x14ac:dyDescent="0.25">
      <c r="A15" s="122" t="s">
        <v>91</v>
      </c>
      <c r="B15" s="241" t="s">
        <v>92</v>
      </c>
      <c r="C15" s="241"/>
      <c r="D15" s="241"/>
      <c r="E15" s="241"/>
      <c r="F15" s="241"/>
      <c r="G15" s="241"/>
      <c r="H15" s="242"/>
      <c r="I15" s="207">
        <v>42886</v>
      </c>
      <c r="J15" s="208"/>
      <c r="K15" s="243"/>
      <c r="L15" s="207">
        <v>42916</v>
      </c>
      <c r="M15" s="208"/>
      <c r="N15" s="209"/>
      <c r="O15" s="207">
        <v>42946</v>
      </c>
      <c r="P15" s="208"/>
      <c r="Q15" s="209"/>
      <c r="R15" s="207">
        <v>42978</v>
      </c>
      <c r="S15" s="208"/>
      <c r="T15" s="209"/>
      <c r="U15" s="207">
        <v>43008</v>
      </c>
      <c r="V15" s="208"/>
      <c r="W15" s="209"/>
      <c r="X15" s="207">
        <v>43039</v>
      </c>
      <c r="Y15" s="208"/>
      <c r="Z15" s="209"/>
      <c r="AA15" s="207">
        <v>43069</v>
      </c>
      <c r="AB15" s="208"/>
      <c r="AC15" s="209"/>
      <c r="AD15" s="207">
        <v>43100</v>
      </c>
      <c r="AE15" s="208"/>
      <c r="AF15" s="209"/>
    </row>
    <row r="16" spans="1:32" x14ac:dyDescent="0.25">
      <c r="A16" s="122" t="s">
        <v>71</v>
      </c>
      <c r="B16" s="78" t="s">
        <v>93</v>
      </c>
      <c r="C16" s="78"/>
      <c r="D16" s="180"/>
      <c r="E16" s="180"/>
      <c r="F16" s="180"/>
      <c r="G16" s="180"/>
      <c r="H16" s="181"/>
      <c r="I16" s="213" t="s">
        <v>81</v>
      </c>
      <c r="J16" s="182"/>
      <c r="K16" s="182"/>
      <c r="L16" s="213" t="s">
        <v>81</v>
      </c>
      <c r="M16" s="182"/>
      <c r="N16" s="214"/>
      <c r="O16" s="213" t="s">
        <v>81</v>
      </c>
      <c r="P16" s="182"/>
      <c r="Q16" s="214"/>
      <c r="R16" s="213" t="s">
        <v>81</v>
      </c>
      <c r="S16" s="182"/>
      <c r="T16" s="214"/>
      <c r="U16" s="213" t="s">
        <v>81</v>
      </c>
      <c r="V16" s="182"/>
      <c r="W16" s="214"/>
      <c r="X16" s="213" t="s">
        <v>81</v>
      </c>
      <c r="Y16" s="182"/>
      <c r="Z16" s="214"/>
      <c r="AA16" s="213" t="s">
        <v>81</v>
      </c>
      <c r="AB16" s="182"/>
      <c r="AC16" s="214"/>
      <c r="AD16" s="213" t="s">
        <v>81</v>
      </c>
      <c r="AE16" s="182"/>
      <c r="AF16" s="214"/>
    </row>
    <row r="17" spans="1:32" ht="15" customHeight="1" x14ac:dyDescent="0.25">
      <c r="A17" s="164" t="s">
        <v>73</v>
      </c>
      <c r="B17" s="165" t="s">
        <v>74</v>
      </c>
      <c r="C17" s="164" t="s">
        <v>75</v>
      </c>
      <c r="D17" s="166" t="s">
        <v>76</v>
      </c>
      <c r="E17" s="123" t="s">
        <v>77</v>
      </c>
      <c r="F17" s="168" t="s">
        <v>39</v>
      </c>
      <c r="G17" s="168" t="s">
        <v>79</v>
      </c>
      <c r="H17" s="250" t="s">
        <v>80</v>
      </c>
      <c r="I17" s="215" t="s">
        <v>116</v>
      </c>
      <c r="J17" s="179" t="s">
        <v>117</v>
      </c>
      <c r="K17" s="252" t="s">
        <v>134</v>
      </c>
      <c r="L17" s="215" t="s">
        <v>116</v>
      </c>
      <c r="M17" s="179" t="s">
        <v>117</v>
      </c>
      <c r="N17" s="230" t="s">
        <v>134</v>
      </c>
      <c r="O17" s="215" t="s">
        <v>116</v>
      </c>
      <c r="P17" s="179" t="s">
        <v>117</v>
      </c>
      <c r="Q17" s="230" t="s">
        <v>134</v>
      </c>
      <c r="R17" s="215" t="s">
        <v>116</v>
      </c>
      <c r="S17" s="179" t="s">
        <v>117</v>
      </c>
      <c r="T17" s="216" t="s">
        <v>134</v>
      </c>
      <c r="U17" s="215" t="s">
        <v>116</v>
      </c>
      <c r="V17" s="179" t="s">
        <v>117</v>
      </c>
      <c r="W17" s="216" t="s">
        <v>134</v>
      </c>
      <c r="X17" s="215" t="s">
        <v>116</v>
      </c>
      <c r="Y17" s="179" t="s">
        <v>117</v>
      </c>
      <c r="Z17" s="216" t="s">
        <v>134</v>
      </c>
      <c r="AA17" s="215" t="s">
        <v>116</v>
      </c>
      <c r="AB17" s="179" t="s">
        <v>117</v>
      </c>
      <c r="AC17" s="216" t="s">
        <v>134</v>
      </c>
      <c r="AD17" s="215" t="s">
        <v>116</v>
      </c>
      <c r="AE17" s="179" t="s">
        <v>117</v>
      </c>
      <c r="AF17" s="216" t="s">
        <v>134</v>
      </c>
    </row>
    <row r="18" spans="1:32" x14ac:dyDescent="0.25">
      <c r="A18" s="164"/>
      <c r="B18" s="165"/>
      <c r="C18" s="164"/>
      <c r="D18" s="167"/>
      <c r="E18" s="123" t="s">
        <v>78</v>
      </c>
      <c r="F18" s="169"/>
      <c r="G18" s="169"/>
      <c r="H18" s="251"/>
      <c r="I18" s="215"/>
      <c r="J18" s="179"/>
      <c r="K18" s="253"/>
      <c r="L18" s="215"/>
      <c r="M18" s="179"/>
      <c r="N18" s="231"/>
      <c r="O18" s="215"/>
      <c r="P18" s="179"/>
      <c r="Q18" s="231"/>
      <c r="R18" s="215"/>
      <c r="S18" s="179"/>
      <c r="T18" s="217"/>
      <c r="U18" s="215"/>
      <c r="V18" s="179"/>
      <c r="W18" s="217"/>
      <c r="X18" s="215"/>
      <c r="Y18" s="179"/>
      <c r="Z18" s="217"/>
      <c r="AA18" s="215"/>
      <c r="AB18" s="179"/>
      <c r="AC18" s="217"/>
      <c r="AD18" s="215"/>
      <c r="AE18" s="179"/>
      <c r="AF18" s="217"/>
    </row>
    <row r="19" spans="1:32" x14ac:dyDescent="0.25">
      <c r="A19" s="171" t="s">
        <v>94</v>
      </c>
      <c r="B19" s="171" t="s">
        <v>95</v>
      </c>
      <c r="C19" s="172" t="s">
        <v>96</v>
      </c>
      <c r="D19" s="173" t="s">
        <v>85</v>
      </c>
      <c r="E19" s="174" t="s">
        <v>97</v>
      </c>
      <c r="F19" s="175">
        <v>256530</v>
      </c>
      <c r="G19" s="170">
        <v>0.45</v>
      </c>
      <c r="H19" s="197">
        <v>0.55000000000000004</v>
      </c>
      <c r="I19" s="224">
        <v>28</v>
      </c>
      <c r="J19" s="191">
        <f>I19*6</f>
        <v>168</v>
      </c>
      <c r="K19" s="244">
        <f>J19/F19</f>
        <v>6.548941644252134E-4</v>
      </c>
      <c r="L19" s="224">
        <v>29</v>
      </c>
      <c r="M19" s="191">
        <f>L19*6</f>
        <v>174</v>
      </c>
      <c r="N19" s="205">
        <f>M19/F19</f>
        <v>6.7828324172611385E-4</v>
      </c>
      <c r="O19" s="224">
        <v>38</v>
      </c>
      <c r="P19" s="191">
        <f>O19*6</f>
        <v>228</v>
      </c>
      <c r="Q19" s="205">
        <f>P19/F19</f>
        <v>8.8878493743421824E-4</v>
      </c>
      <c r="R19" s="224">
        <v>356</v>
      </c>
      <c r="S19" s="191">
        <f>R19*6</f>
        <v>2136</v>
      </c>
      <c r="T19" s="205">
        <f>S19/F19</f>
        <v>8.3265115191205712E-3</v>
      </c>
      <c r="U19" s="224">
        <v>18869</v>
      </c>
      <c r="V19" s="191">
        <f>U19*6</f>
        <v>113214</v>
      </c>
      <c r="W19" s="205">
        <f>V19/F19</f>
        <v>0.44132849959069115</v>
      </c>
      <c r="X19" s="224">
        <v>19180</v>
      </c>
      <c r="Y19" s="191">
        <f>X19*6</f>
        <v>115080</v>
      </c>
      <c r="Z19" s="205">
        <f>Y19/F19</f>
        <v>0.44860250263127122</v>
      </c>
      <c r="AA19" s="199">
        <v>19432</v>
      </c>
      <c r="AB19" s="191">
        <f>AA19*6</f>
        <v>116592</v>
      </c>
      <c r="AC19" s="205">
        <f>AB19/F19</f>
        <v>0.45449655011109813</v>
      </c>
      <c r="AD19" s="202">
        <v>19575</v>
      </c>
      <c r="AE19" s="191">
        <f>AD19*6</f>
        <v>117450</v>
      </c>
      <c r="AF19" s="205">
        <f>AE19/F19</f>
        <v>0.45784118816512687</v>
      </c>
    </row>
    <row r="20" spans="1:32" x14ac:dyDescent="0.25">
      <c r="A20" s="171"/>
      <c r="B20" s="171"/>
      <c r="C20" s="172"/>
      <c r="D20" s="173"/>
      <c r="E20" s="174"/>
      <c r="F20" s="175"/>
      <c r="G20" s="170"/>
      <c r="H20" s="197"/>
      <c r="I20" s="226"/>
      <c r="J20" s="192"/>
      <c r="K20" s="248"/>
      <c r="L20" s="226"/>
      <c r="M20" s="192"/>
      <c r="N20" s="218"/>
      <c r="O20" s="226"/>
      <c r="P20" s="192"/>
      <c r="Q20" s="218"/>
      <c r="R20" s="226"/>
      <c r="S20" s="192"/>
      <c r="T20" s="218"/>
      <c r="U20" s="226"/>
      <c r="V20" s="192"/>
      <c r="W20" s="218"/>
      <c r="X20" s="226"/>
      <c r="Y20" s="192"/>
      <c r="Z20" s="218"/>
      <c r="AA20" s="199"/>
      <c r="AB20" s="192"/>
      <c r="AC20" s="218"/>
      <c r="AD20" s="202"/>
      <c r="AE20" s="192"/>
      <c r="AF20" s="218"/>
    </row>
    <row r="21" spans="1:32" x14ac:dyDescent="0.25">
      <c r="A21" s="171" t="s">
        <v>98</v>
      </c>
      <c r="B21" s="171" t="s">
        <v>99</v>
      </c>
      <c r="C21" s="172" t="s">
        <v>96</v>
      </c>
      <c r="D21" s="173" t="s">
        <v>85</v>
      </c>
      <c r="E21" s="174" t="s">
        <v>100</v>
      </c>
      <c r="F21" s="175">
        <v>12234</v>
      </c>
      <c r="G21" s="170">
        <v>0.45</v>
      </c>
      <c r="H21" s="197">
        <v>0.55000000000000004</v>
      </c>
      <c r="I21" s="224">
        <v>1030</v>
      </c>
      <c r="J21" s="191">
        <f>I21*6</f>
        <v>6180</v>
      </c>
      <c r="K21" s="246">
        <f t="shared" ref="K21" si="0">J21/F21</f>
        <v>0.50514958312898484</v>
      </c>
      <c r="L21" s="224">
        <v>1030</v>
      </c>
      <c r="M21" s="191">
        <f>L21*6</f>
        <v>6180</v>
      </c>
      <c r="N21" s="210">
        <f t="shared" ref="N21" si="1">M21/F21</f>
        <v>0.50514958312898484</v>
      </c>
      <c r="O21" s="224">
        <v>5334</v>
      </c>
      <c r="P21" s="191">
        <f>O21*6</f>
        <v>32004</v>
      </c>
      <c r="Q21" s="210">
        <f t="shared" ref="Q21" si="2">P21/F21</f>
        <v>2.6159882295242767</v>
      </c>
      <c r="R21" s="224">
        <v>5349</v>
      </c>
      <c r="S21" s="191">
        <f>R21*6</f>
        <v>32094</v>
      </c>
      <c r="T21" s="210">
        <f t="shared" ref="T21" si="3">S21/F21</f>
        <v>2.6233447768513978</v>
      </c>
      <c r="U21" s="224">
        <v>5349</v>
      </c>
      <c r="V21" s="191">
        <f>U21*6</f>
        <v>32094</v>
      </c>
      <c r="W21" s="219">
        <f t="shared" ref="W21" si="4">V21/F21</f>
        <v>2.6233447768513978</v>
      </c>
      <c r="X21" s="224">
        <v>5349</v>
      </c>
      <c r="Y21" s="191">
        <f>X21*6</f>
        <v>32094</v>
      </c>
      <c r="Z21" s="219">
        <f t="shared" ref="Z21" si="5">Y21/F21</f>
        <v>2.6233447768513978</v>
      </c>
      <c r="AA21" s="199">
        <v>5349</v>
      </c>
      <c r="AB21" s="191">
        <f>AA21*6</f>
        <v>32094</v>
      </c>
      <c r="AC21" s="219">
        <f>AB21/F21</f>
        <v>2.6233447768513978</v>
      </c>
      <c r="AD21" s="202">
        <v>5349</v>
      </c>
      <c r="AE21" s="191">
        <f>AD21*6</f>
        <v>32094</v>
      </c>
      <c r="AF21" s="219">
        <f>AE21/F21</f>
        <v>2.6233447768513978</v>
      </c>
    </row>
    <row r="22" spans="1:32" x14ac:dyDescent="0.25">
      <c r="A22" s="171"/>
      <c r="B22" s="171"/>
      <c r="C22" s="172"/>
      <c r="D22" s="173"/>
      <c r="E22" s="174"/>
      <c r="F22" s="175"/>
      <c r="G22" s="170"/>
      <c r="H22" s="197"/>
      <c r="I22" s="226"/>
      <c r="J22" s="192"/>
      <c r="K22" s="247"/>
      <c r="L22" s="226"/>
      <c r="M22" s="192"/>
      <c r="N22" s="211"/>
      <c r="O22" s="226"/>
      <c r="P22" s="192"/>
      <c r="Q22" s="211"/>
      <c r="R22" s="226"/>
      <c r="S22" s="192"/>
      <c r="T22" s="211"/>
      <c r="U22" s="226"/>
      <c r="V22" s="192"/>
      <c r="W22" s="220"/>
      <c r="X22" s="226"/>
      <c r="Y22" s="192"/>
      <c r="Z22" s="220"/>
      <c r="AA22" s="199"/>
      <c r="AB22" s="192"/>
      <c r="AC22" s="220"/>
      <c r="AD22" s="202"/>
      <c r="AE22" s="192"/>
      <c r="AF22" s="220"/>
    </row>
    <row r="23" spans="1:32" x14ac:dyDescent="0.25">
      <c r="A23" s="171" t="s">
        <v>101</v>
      </c>
      <c r="B23" s="171" t="s">
        <v>102</v>
      </c>
      <c r="C23" s="172" t="s">
        <v>89</v>
      </c>
      <c r="D23" s="173" t="s">
        <v>85</v>
      </c>
      <c r="E23" s="174" t="s">
        <v>103</v>
      </c>
      <c r="F23" s="175">
        <v>382978</v>
      </c>
      <c r="G23" s="170">
        <v>0.45</v>
      </c>
      <c r="H23" s="197">
        <v>0.55000000000000004</v>
      </c>
      <c r="I23" s="224">
        <v>18806</v>
      </c>
      <c r="J23" s="191">
        <f>I23*6</f>
        <v>112836</v>
      </c>
      <c r="K23" s="244">
        <f t="shared" ref="K23" si="6">J23/F23</f>
        <v>0.29462788985268085</v>
      </c>
      <c r="L23" s="224">
        <v>20711</v>
      </c>
      <c r="M23" s="191">
        <f>L23*6</f>
        <v>124266</v>
      </c>
      <c r="N23" s="205">
        <f t="shared" ref="N23" si="7">M23/F23</f>
        <v>0.32447294622667622</v>
      </c>
      <c r="O23" s="224">
        <v>22860</v>
      </c>
      <c r="P23" s="191">
        <f>O23*6</f>
        <v>137160</v>
      </c>
      <c r="Q23" s="205">
        <f t="shared" ref="Q23" si="8">P23/F23</f>
        <v>0.35814067648794445</v>
      </c>
      <c r="R23" s="224">
        <v>28292</v>
      </c>
      <c r="S23" s="191">
        <f>R23*6</f>
        <v>169752</v>
      </c>
      <c r="T23" s="205">
        <f t="shared" ref="T23" si="9">S23/F23</f>
        <v>0.44324217056854442</v>
      </c>
      <c r="U23" s="224">
        <v>28744</v>
      </c>
      <c r="V23" s="191">
        <f>U23*6</f>
        <v>172464</v>
      </c>
      <c r="W23" s="205">
        <f t="shared" ref="W23" si="10">V23/F23</f>
        <v>0.45032351727775488</v>
      </c>
      <c r="X23" s="224">
        <v>30873</v>
      </c>
      <c r="Y23" s="191">
        <f>X23*6</f>
        <v>185238</v>
      </c>
      <c r="Z23" s="205">
        <f t="shared" ref="Z23" si="11">Y23/F23</f>
        <v>0.48367791361383683</v>
      </c>
      <c r="AA23" s="199">
        <v>34879</v>
      </c>
      <c r="AB23" s="191">
        <f>AA23*6</f>
        <v>209274</v>
      </c>
      <c r="AC23" s="219">
        <f>AB23/F23</f>
        <v>0.54643869882865337</v>
      </c>
      <c r="AD23" s="202">
        <v>39148</v>
      </c>
      <c r="AE23" s="191">
        <f>AD23*6</f>
        <v>234888</v>
      </c>
      <c r="AF23" s="210">
        <f>AE23/F23</f>
        <v>0.61331982515966976</v>
      </c>
    </row>
    <row r="24" spans="1:32" x14ac:dyDescent="0.25">
      <c r="A24" s="171"/>
      <c r="B24" s="171"/>
      <c r="C24" s="172"/>
      <c r="D24" s="173"/>
      <c r="E24" s="174"/>
      <c r="F24" s="175"/>
      <c r="G24" s="170"/>
      <c r="H24" s="197"/>
      <c r="I24" s="226"/>
      <c r="J24" s="192"/>
      <c r="K24" s="248"/>
      <c r="L24" s="226"/>
      <c r="M24" s="192"/>
      <c r="N24" s="218"/>
      <c r="O24" s="226"/>
      <c r="P24" s="192"/>
      <c r="Q24" s="218"/>
      <c r="R24" s="226"/>
      <c r="S24" s="192"/>
      <c r="T24" s="218"/>
      <c r="U24" s="226"/>
      <c r="V24" s="192"/>
      <c r="W24" s="218"/>
      <c r="X24" s="226"/>
      <c r="Y24" s="192"/>
      <c r="Z24" s="218"/>
      <c r="AA24" s="199"/>
      <c r="AB24" s="192"/>
      <c r="AC24" s="220"/>
      <c r="AD24" s="202"/>
      <c r="AE24" s="192"/>
      <c r="AF24" s="211"/>
    </row>
    <row r="25" spans="1:32" ht="18.75" customHeight="1" x14ac:dyDescent="0.25">
      <c r="A25" s="171" t="s">
        <v>104</v>
      </c>
      <c r="B25" s="171" t="s">
        <v>105</v>
      </c>
      <c r="C25" s="172" t="s">
        <v>89</v>
      </c>
      <c r="D25" s="173" t="s">
        <v>85</v>
      </c>
      <c r="E25" s="174" t="s">
        <v>106</v>
      </c>
      <c r="F25" s="175">
        <v>100246</v>
      </c>
      <c r="G25" s="170">
        <v>0.45</v>
      </c>
      <c r="H25" s="197">
        <v>0.55000000000000004</v>
      </c>
      <c r="I25" s="224">
        <v>1980</v>
      </c>
      <c r="J25" s="191">
        <f>I25*6</f>
        <v>11880</v>
      </c>
      <c r="K25" s="244">
        <f t="shared" ref="K25" si="12">J25/F25</f>
        <v>0.118508469165852</v>
      </c>
      <c r="L25" s="224">
        <v>2371</v>
      </c>
      <c r="M25" s="191">
        <f>L25*6</f>
        <v>14226</v>
      </c>
      <c r="N25" s="205">
        <f t="shared" ref="N25" si="13">M25/F25</f>
        <v>0.14191089918799751</v>
      </c>
      <c r="O25" s="224">
        <v>2591</v>
      </c>
      <c r="P25" s="191">
        <f>O25*6</f>
        <v>15546</v>
      </c>
      <c r="Q25" s="205">
        <f t="shared" ref="Q25" si="14">P25/F25</f>
        <v>0.15507850687309219</v>
      </c>
      <c r="R25" s="224">
        <v>2882</v>
      </c>
      <c r="S25" s="191">
        <f>R25*6</f>
        <v>17292</v>
      </c>
      <c r="T25" s="205">
        <f t="shared" ref="T25" si="15">S25/F25</f>
        <v>0.17249566067474015</v>
      </c>
      <c r="U25" s="224">
        <v>2882</v>
      </c>
      <c r="V25" s="191">
        <f>U25*6</f>
        <v>17292</v>
      </c>
      <c r="W25" s="205">
        <f t="shared" ref="W25" si="16">V25/F25</f>
        <v>0.17249566067474015</v>
      </c>
      <c r="X25" s="224">
        <v>3365</v>
      </c>
      <c r="Y25" s="191">
        <f>X25*6</f>
        <v>20190</v>
      </c>
      <c r="Z25" s="205">
        <f t="shared" ref="Z25" si="17">Y25/F25</f>
        <v>0.20140454481974343</v>
      </c>
      <c r="AA25" s="202">
        <v>8696</v>
      </c>
      <c r="AB25" s="191">
        <f>AA25*6</f>
        <v>52176</v>
      </c>
      <c r="AC25" s="219">
        <f>AB25/F25</f>
        <v>0.52047962013446925</v>
      </c>
      <c r="AD25" s="202">
        <v>18965</v>
      </c>
      <c r="AE25" s="191">
        <f>AD25*6</f>
        <v>113790</v>
      </c>
      <c r="AF25" s="210">
        <f>AE25/F25</f>
        <v>1.1351076352173652</v>
      </c>
    </row>
    <row r="26" spans="1:32" ht="18.75" customHeight="1" thickBot="1" x14ac:dyDescent="0.3">
      <c r="A26" s="171"/>
      <c r="B26" s="171"/>
      <c r="C26" s="172"/>
      <c r="D26" s="173"/>
      <c r="E26" s="174"/>
      <c r="F26" s="175"/>
      <c r="G26" s="170"/>
      <c r="H26" s="197"/>
      <c r="I26" s="225"/>
      <c r="J26" s="204"/>
      <c r="K26" s="245"/>
      <c r="L26" s="225"/>
      <c r="M26" s="204"/>
      <c r="N26" s="206"/>
      <c r="O26" s="225"/>
      <c r="P26" s="204"/>
      <c r="Q26" s="206"/>
      <c r="R26" s="225"/>
      <c r="S26" s="204"/>
      <c r="T26" s="206"/>
      <c r="U26" s="225"/>
      <c r="V26" s="204"/>
      <c r="W26" s="206"/>
      <c r="X26" s="225"/>
      <c r="Y26" s="204"/>
      <c r="Z26" s="206"/>
      <c r="AA26" s="203"/>
      <c r="AB26" s="204"/>
      <c r="AC26" s="223"/>
      <c r="AD26" s="203"/>
      <c r="AE26" s="204"/>
      <c r="AF26" s="212"/>
    </row>
    <row r="27" spans="1:32" ht="15.75" thickBot="1" x14ac:dyDescent="0.3">
      <c r="J27" s="81"/>
    </row>
    <row r="28" spans="1:32" ht="15" customHeight="1" x14ac:dyDescent="0.25">
      <c r="A28" s="122" t="s">
        <v>107</v>
      </c>
      <c r="B28" s="241" t="s">
        <v>108</v>
      </c>
      <c r="C28" s="241"/>
      <c r="D28" s="241"/>
      <c r="E28" s="241"/>
      <c r="F28" s="241"/>
      <c r="G28" s="241"/>
      <c r="H28" s="242"/>
      <c r="I28" s="207">
        <v>42886</v>
      </c>
      <c r="J28" s="208"/>
      <c r="K28" s="209"/>
      <c r="L28" s="207">
        <v>42916</v>
      </c>
      <c r="M28" s="208"/>
      <c r="N28" s="209"/>
      <c r="O28" s="207">
        <v>42946</v>
      </c>
      <c r="P28" s="208"/>
      <c r="Q28" s="209"/>
      <c r="R28" s="207">
        <v>42978</v>
      </c>
      <c r="S28" s="208"/>
      <c r="T28" s="209"/>
      <c r="U28" s="207">
        <v>43008</v>
      </c>
      <c r="V28" s="208"/>
      <c r="W28" s="209"/>
      <c r="X28" s="207">
        <v>43039</v>
      </c>
      <c r="Y28" s="208"/>
      <c r="Z28" s="209"/>
      <c r="AA28" s="207">
        <v>43069</v>
      </c>
      <c r="AB28" s="208"/>
      <c r="AC28" s="209"/>
      <c r="AD28" s="207">
        <v>43100</v>
      </c>
      <c r="AE28" s="208"/>
      <c r="AF28" s="209"/>
    </row>
    <row r="29" spans="1:32" x14ac:dyDescent="0.25">
      <c r="A29" s="122" t="s">
        <v>71</v>
      </c>
      <c r="B29" s="78" t="s">
        <v>109</v>
      </c>
      <c r="C29" s="78"/>
      <c r="D29" s="180"/>
      <c r="E29" s="180"/>
      <c r="F29" s="180"/>
      <c r="G29" s="180"/>
      <c r="H29" s="181"/>
      <c r="I29" s="213" t="s">
        <v>81</v>
      </c>
      <c r="J29" s="182"/>
      <c r="K29" s="214"/>
      <c r="L29" s="213" t="s">
        <v>81</v>
      </c>
      <c r="M29" s="182"/>
      <c r="N29" s="214"/>
      <c r="O29" s="213" t="s">
        <v>81</v>
      </c>
      <c r="P29" s="182"/>
      <c r="Q29" s="214"/>
      <c r="R29" s="213" t="s">
        <v>81</v>
      </c>
      <c r="S29" s="182"/>
      <c r="T29" s="214"/>
      <c r="U29" s="213" t="s">
        <v>81</v>
      </c>
      <c r="V29" s="182"/>
      <c r="W29" s="214"/>
      <c r="X29" s="213" t="s">
        <v>81</v>
      </c>
      <c r="Y29" s="182"/>
      <c r="Z29" s="214"/>
      <c r="AA29" s="213" t="s">
        <v>81</v>
      </c>
      <c r="AB29" s="182"/>
      <c r="AC29" s="214"/>
      <c r="AD29" s="213" t="s">
        <v>81</v>
      </c>
      <c r="AE29" s="182"/>
      <c r="AF29" s="214"/>
    </row>
    <row r="30" spans="1:32" ht="15" customHeight="1" x14ac:dyDescent="0.25">
      <c r="A30" s="164" t="s">
        <v>73</v>
      </c>
      <c r="B30" s="165" t="s">
        <v>74</v>
      </c>
      <c r="C30" s="164" t="s">
        <v>75</v>
      </c>
      <c r="D30" s="164" t="s">
        <v>76</v>
      </c>
      <c r="E30" s="123" t="s">
        <v>77</v>
      </c>
      <c r="F30" s="165" t="s">
        <v>39</v>
      </c>
      <c r="G30" s="165" t="s">
        <v>79</v>
      </c>
      <c r="H30" s="249" t="s">
        <v>80</v>
      </c>
      <c r="I30" s="215" t="s">
        <v>116</v>
      </c>
      <c r="J30" s="179" t="s">
        <v>117</v>
      </c>
      <c r="K30" s="230" t="s">
        <v>134</v>
      </c>
      <c r="L30" s="215" t="s">
        <v>116</v>
      </c>
      <c r="M30" s="179" t="s">
        <v>117</v>
      </c>
      <c r="N30" s="230" t="s">
        <v>134</v>
      </c>
      <c r="O30" s="215" t="s">
        <v>116</v>
      </c>
      <c r="P30" s="179" t="s">
        <v>117</v>
      </c>
      <c r="Q30" s="230" t="s">
        <v>134</v>
      </c>
      <c r="R30" s="215" t="s">
        <v>116</v>
      </c>
      <c r="S30" s="179" t="s">
        <v>117</v>
      </c>
      <c r="T30" s="216" t="s">
        <v>134</v>
      </c>
      <c r="U30" s="215" t="s">
        <v>116</v>
      </c>
      <c r="V30" s="179" t="s">
        <v>117</v>
      </c>
      <c r="W30" s="216" t="s">
        <v>134</v>
      </c>
      <c r="X30" s="215" t="s">
        <v>116</v>
      </c>
      <c r="Y30" s="179" t="s">
        <v>117</v>
      </c>
      <c r="Z30" s="216" t="s">
        <v>134</v>
      </c>
      <c r="AA30" s="215" t="s">
        <v>116</v>
      </c>
      <c r="AB30" s="179" t="s">
        <v>117</v>
      </c>
      <c r="AC30" s="216" t="s">
        <v>134</v>
      </c>
      <c r="AD30" s="215" t="s">
        <v>116</v>
      </c>
      <c r="AE30" s="179" t="s">
        <v>117</v>
      </c>
      <c r="AF30" s="216" t="s">
        <v>134</v>
      </c>
    </row>
    <row r="31" spans="1:32" x14ac:dyDescent="0.25">
      <c r="A31" s="164"/>
      <c r="B31" s="165"/>
      <c r="C31" s="164"/>
      <c r="D31" s="164"/>
      <c r="E31" s="123" t="s">
        <v>78</v>
      </c>
      <c r="F31" s="165"/>
      <c r="G31" s="165"/>
      <c r="H31" s="249"/>
      <c r="I31" s="215"/>
      <c r="J31" s="179"/>
      <c r="K31" s="231"/>
      <c r="L31" s="215"/>
      <c r="M31" s="179"/>
      <c r="N31" s="231"/>
      <c r="O31" s="215"/>
      <c r="P31" s="179"/>
      <c r="Q31" s="231"/>
      <c r="R31" s="215"/>
      <c r="S31" s="179"/>
      <c r="T31" s="217"/>
      <c r="U31" s="215"/>
      <c r="V31" s="179"/>
      <c r="W31" s="217"/>
      <c r="X31" s="215"/>
      <c r="Y31" s="179"/>
      <c r="Z31" s="217"/>
      <c r="AA31" s="215"/>
      <c r="AB31" s="179"/>
      <c r="AC31" s="217"/>
      <c r="AD31" s="215"/>
      <c r="AE31" s="179"/>
      <c r="AF31" s="217"/>
    </row>
    <row r="32" spans="1:32" x14ac:dyDescent="0.25">
      <c r="A32" s="177" t="s">
        <v>110</v>
      </c>
      <c r="B32" s="171" t="s">
        <v>111</v>
      </c>
      <c r="C32" s="172" t="s">
        <v>89</v>
      </c>
      <c r="D32" s="173" t="s">
        <v>112</v>
      </c>
      <c r="E32" s="174" t="s">
        <v>113</v>
      </c>
      <c r="F32" s="175">
        <v>41534</v>
      </c>
      <c r="G32" s="170">
        <v>0.45</v>
      </c>
      <c r="H32" s="197">
        <v>0.55000000000000004</v>
      </c>
      <c r="I32" s="224">
        <v>909</v>
      </c>
      <c r="J32" s="191">
        <f>I32*6</f>
        <v>5454</v>
      </c>
      <c r="K32" s="205">
        <f t="shared" ref="K32" si="18">J32/F32</f>
        <v>0.13131410410747821</v>
      </c>
      <c r="L32" s="224">
        <v>1509</v>
      </c>
      <c r="M32" s="191">
        <f>L32*6</f>
        <v>9054</v>
      </c>
      <c r="N32" s="205">
        <f>M32/F32</f>
        <v>0.21799008041604467</v>
      </c>
      <c r="O32" s="224">
        <v>1509</v>
      </c>
      <c r="P32" s="191">
        <f>O32*6</f>
        <v>9054</v>
      </c>
      <c r="Q32" s="205">
        <f>P32/F32</f>
        <v>0.21799008041604467</v>
      </c>
      <c r="R32" s="224">
        <v>1509</v>
      </c>
      <c r="S32" s="191">
        <f>R32*6</f>
        <v>9054</v>
      </c>
      <c r="T32" s="205">
        <f>S32/F32</f>
        <v>0.21799008041604467</v>
      </c>
      <c r="U32" s="224">
        <v>1509</v>
      </c>
      <c r="V32" s="191">
        <f>U32*6</f>
        <v>9054</v>
      </c>
      <c r="W32" s="205">
        <f t="shared" ref="W32" si="19">V32/F32</f>
        <v>0.21799008041604467</v>
      </c>
      <c r="X32" s="224">
        <v>1537</v>
      </c>
      <c r="Y32" s="191">
        <f>X32*6</f>
        <v>9222</v>
      </c>
      <c r="Z32" s="205">
        <f>Y32/F32</f>
        <v>0.22203495931044445</v>
      </c>
      <c r="AA32" s="202">
        <v>1537</v>
      </c>
      <c r="AB32" s="191">
        <f>AA32*6</f>
        <v>9222</v>
      </c>
      <c r="AC32" s="205">
        <f>AB32/F32</f>
        <v>0.22203495931044445</v>
      </c>
      <c r="AD32" s="202">
        <v>2437</v>
      </c>
      <c r="AE32" s="191">
        <f>AD32*6</f>
        <v>14622</v>
      </c>
      <c r="AF32" s="205">
        <f>AE32/F32</f>
        <v>0.35204892377329416</v>
      </c>
    </row>
    <row r="33" spans="1:32" ht="15.75" thickBot="1" x14ac:dyDescent="0.3">
      <c r="A33" s="178"/>
      <c r="B33" s="171"/>
      <c r="C33" s="172"/>
      <c r="D33" s="173"/>
      <c r="E33" s="174"/>
      <c r="F33" s="175"/>
      <c r="G33" s="170"/>
      <c r="H33" s="197"/>
      <c r="I33" s="225"/>
      <c r="J33" s="204"/>
      <c r="K33" s="206"/>
      <c r="L33" s="225"/>
      <c r="M33" s="204"/>
      <c r="N33" s="206"/>
      <c r="O33" s="225"/>
      <c r="P33" s="204"/>
      <c r="Q33" s="206"/>
      <c r="R33" s="225"/>
      <c r="S33" s="204"/>
      <c r="T33" s="206"/>
      <c r="U33" s="225"/>
      <c r="V33" s="204"/>
      <c r="W33" s="206"/>
      <c r="X33" s="225"/>
      <c r="Y33" s="204"/>
      <c r="Z33" s="206"/>
      <c r="AA33" s="203"/>
      <c r="AB33" s="204"/>
      <c r="AC33" s="206"/>
      <c r="AD33" s="203"/>
      <c r="AE33" s="204"/>
      <c r="AF33" s="206"/>
    </row>
  </sheetData>
  <mergeCells count="370">
    <mergeCell ref="X28:Z28"/>
    <mergeCell ref="X29:Z29"/>
    <mergeCell ref="X30:X31"/>
    <mergeCell ref="Y30:Y31"/>
    <mergeCell ref="Z30:Z31"/>
    <mergeCell ref="X32:X33"/>
    <mergeCell ref="Y32:Y33"/>
    <mergeCell ref="Z32:Z33"/>
    <mergeCell ref="Z19:Z20"/>
    <mergeCell ref="X21:X22"/>
    <mergeCell ref="Y21:Y22"/>
    <mergeCell ref="Z21:Z22"/>
    <mergeCell ref="X23:X24"/>
    <mergeCell ref="Y23:Y24"/>
    <mergeCell ref="Z23:Z24"/>
    <mergeCell ref="X25:X26"/>
    <mergeCell ref="Y25:Y26"/>
    <mergeCell ref="Z25:Z26"/>
    <mergeCell ref="X6:Z6"/>
    <mergeCell ref="X7:Z7"/>
    <mergeCell ref="X8:X9"/>
    <mergeCell ref="Y8:Y9"/>
    <mergeCell ref="Z8:Z9"/>
    <mergeCell ref="X10:X11"/>
    <mergeCell ref="Y10:Y11"/>
    <mergeCell ref="Z10:Z11"/>
    <mergeCell ref="X12:X13"/>
    <mergeCell ref="Y12:Y13"/>
    <mergeCell ref="Z12:Z13"/>
    <mergeCell ref="X15:Z15"/>
    <mergeCell ref="X16:Z16"/>
    <mergeCell ref="X17:X18"/>
    <mergeCell ref="Y17:Y18"/>
    <mergeCell ref="Z17:Z18"/>
    <mergeCell ref="X19:X20"/>
    <mergeCell ref="Y19:Y20"/>
    <mergeCell ref="I7:K7"/>
    <mergeCell ref="A8:A9"/>
    <mergeCell ref="B8:B9"/>
    <mergeCell ref="C8:C9"/>
    <mergeCell ref="D8:D9"/>
    <mergeCell ref="F8:F9"/>
    <mergeCell ref="G8:G9"/>
    <mergeCell ref="H8:H9"/>
    <mergeCell ref="I8:I9"/>
    <mergeCell ref="A12:A13"/>
    <mergeCell ref="B12:B13"/>
    <mergeCell ref="C12:C13"/>
    <mergeCell ref="D12:D13"/>
    <mergeCell ref="E12:E13"/>
    <mergeCell ref="F12:F13"/>
    <mergeCell ref="G12:G13"/>
    <mergeCell ref="J8:J9"/>
    <mergeCell ref="K8:K9"/>
    <mergeCell ref="A10:A11"/>
    <mergeCell ref="B10:B11"/>
    <mergeCell ref="C10:C11"/>
    <mergeCell ref="D10:D11"/>
    <mergeCell ref="E10:E11"/>
    <mergeCell ref="F10:F11"/>
    <mergeCell ref="G10:G11"/>
    <mergeCell ref="H10:H11"/>
    <mergeCell ref="H12:H13"/>
    <mergeCell ref="I12:I13"/>
    <mergeCell ref="J12:J13"/>
    <mergeCell ref="K12:K13"/>
    <mergeCell ref="D16:H16"/>
    <mergeCell ref="I16:K16"/>
    <mergeCell ref="I10:I11"/>
    <mergeCell ref="J10:J11"/>
    <mergeCell ref="K10:K11"/>
    <mergeCell ref="H17:H18"/>
    <mergeCell ref="I17:I18"/>
    <mergeCell ref="J17:J18"/>
    <mergeCell ref="K17:K18"/>
    <mergeCell ref="A19:A20"/>
    <mergeCell ref="B19:B20"/>
    <mergeCell ref="C19:C20"/>
    <mergeCell ref="D19:D20"/>
    <mergeCell ref="E19:E20"/>
    <mergeCell ref="F19:F20"/>
    <mergeCell ref="A17:A18"/>
    <mergeCell ref="B17:B18"/>
    <mergeCell ref="C17:C18"/>
    <mergeCell ref="D17:D18"/>
    <mergeCell ref="F17:F18"/>
    <mergeCell ref="G17:G18"/>
    <mergeCell ref="K19:K20"/>
    <mergeCell ref="A32:A33"/>
    <mergeCell ref="B32:B33"/>
    <mergeCell ref="C32:C33"/>
    <mergeCell ref="D32:D33"/>
    <mergeCell ref="E32:E33"/>
    <mergeCell ref="F32:F33"/>
    <mergeCell ref="G32:G33"/>
    <mergeCell ref="D29:H29"/>
    <mergeCell ref="A25:A26"/>
    <mergeCell ref="B25:B26"/>
    <mergeCell ref="C25:C26"/>
    <mergeCell ref="D25:D26"/>
    <mergeCell ref="E25:E26"/>
    <mergeCell ref="A30:A31"/>
    <mergeCell ref="B30:B31"/>
    <mergeCell ref="C30:C31"/>
    <mergeCell ref="D30:D31"/>
    <mergeCell ref="F30:F31"/>
    <mergeCell ref="G30:G31"/>
    <mergeCell ref="H30:H31"/>
    <mergeCell ref="H32:H33"/>
    <mergeCell ref="A23:A24"/>
    <mergeCell ref="B23:B24"/>
    <mergeCell ref="C23:C24"/>
    <mergeCell ref="D23:D24"/>
    <mergeCell ref="E23:E24"/>
    <mergeCell ref="I21:I22"/>
    <mergeCell ref="J21:J22"/>
    <mergeCell ref="K21:K22"/>
    <mergeCell ref="G19:G20"/>
    <mergeCell ref="H19:H20"/>
    <mergeCell ref="I23:I24"/>
    <mergeCell ref="J23:J24"/>
    <mergeCell ref="K23:K24"/>
    <mergeCell ref="A21:A22"/>
    <mergeCell ref="B21:B22"/>
    <mergeCell ref="C21:C22"/>
    <mergeCell ref="D21:D22"/>
    <mergeCell ref="E21:E22"/>
    <mergeCell ref="F21:F22"/>
    <mergeCell ref="G21:G22"/>
    <mergeCell ref="H21:H22"/>
    <mergeCell ref="I32:I33"/>
    <mergeCell ref="J32:J33"/>
    <mergeCell ref="K32:K33"/>
    <mergeCell ref="B6:H6"/>
    <mergeCell ref="B15:H15"/>
    <mergeCell ref="B28:H28"/>
    <mergeCell ref="I6:K6"/>
    <mergeCell ref="I15:K15"/>
    <mergeCell ref="I28:K28"/>
    <mergeCell ref="I30:I31"/>
    <mergeCell ref="J30:J31"/>
    <mergeCell ref="K30:K31"/>
    <mergeCell ref="F25:F26"/>
    <mergeCell ref="G25:G26"/>
    <mergeCell ref="H25:H26"/>
    <mergeCell ref="I25:I26"/>
    <mergeCell ref="J25:J26"/>
    <mergeCell ref="K25:K26"/>
    <mergeCell ref="G23:G24"/>
    <mergeCell ref="H23:H24"/>
    <mergeCell ref="I29:K29"/>
    <mergeCell ref="I19:I20"/>
    <mergeCell ref="J19:J20"/>
    <mergeCell ref="F23:F24"/>
    <mergeCell ref="N12:N13"/>
    <mergeCell ref="L6:N6"/>
    <mergeCell ref="L7:N7"/>
    <mergeCell ref="L15:N15"/>
    <mergeCell ref="L16:N16"/>
    <mergeCell ref="L17:L18"/>
    <mergeCell ref="M17:M18"/>
    <mergeCell ref="N17:N18"/>
    <mergeCell ref="M8:M9"/>
    <mergeCell ref="N8:N9"/>
    <mergeCell ref="L8:L9"/>
    <mergeCell ref="L10:L11"/>
    <mergeCell ref="M10:M11"/>
    <mergeCell ref="N10:N11"/>
    <mergeCell ref="L12:L13"/>
    <mergeCell ref="M12:M13"/>
    <mergeCell ref="L19:L20"/>
    <mergeCell ref="L32:L33"/>
    <mergeCell ref="M32:M33"/>
    <mergeCell ref="N32:N33"/>
    <mergeCell ref="L30:L31"/>
    <mergeCell ref="M30:M31"/>
    <mergeCell ref="N30:N31"/>
    <mergeCell ref="M23:M24"/>
    <mergeCell ref="N23:N24"/>
    <mergeCell ref="L25:L26"/>
    <mergeCell ref="M25:M26"/>
    <mergeCell ref="N25:N26"/>
    <mergeCell ref="L23:L24"/>
    <mergeCell ref="L28:N28"/>
    <mergeCell ref="L29:N29"/>
    <mergeCell ref="L21:L22"/>
    <mergeCell ref="M21:M22"/>
    <mergeCell ref="N21:N22"/>
    <mergeCell ref="M19:M20"/>
    <mergeCell ref="N19:N20"/>
    <mergeCell ref="O6:Q6"/>
    <mergeCell ref="O7:Q7"/>
    <mergeCell ref="O17:O18"/>
    <mergeCell ref="P17:P18"/>
    <mergeCell ref="Q17:Q18"/>
    <mergeCell ref="O15:Q15"/>
    <mergeCell ref="O16:Q16"/>
    <mergeCell ref="O8:O9"/>
    <mergeCell ref="P8:P9"/>
    <mergeCell ref="Q8:Q9"/>
    <mergeCell ref="O10:O11"/>
    <mergeCell ref="P10:P11"/>
    <mergeCell ref="Q10:Q11"/>
    <mergeCell ref="O30:O31"/>
    <mergeCell ref="P30:P31"/>
    <mergeCell ref="Q30:Q31"/>
    <mergeCell ref="O32:O33"/>
    <mergeCell ref="P32:P33"/>
    <mergeCell ref="Q32:Q33"/>
    <mergeCell ref="O23:O24"/>
    <mergeCell ref="P23:P24"/>
    <mergeCell ref="Q23:Q24"/>
    <mergeCell ref="O25:O26"/>
    <mergeCell ref="P25:P26"/>
    <mergeCell ref="Q25:Q26"/>
    <mergeCell ref="T17:T18"/>
    <mergeCell ref="R19:R20"/>
    <mergeCell ref="S19:S20"/>
    <mergeCell ref="T19:T20"/>
    <mergeCell ref="O28:Q28"/>
    <mergeCell ref="O29:Q29"/>
    <mergeCell ref="R8:R9"/>
    <mergeCell ref="S8:S9"/>
    <mergeCell ref="T8:T9"/>
    <mergeCell ref="R10:R11"/>
    <mergeCell ref="S10:S11"/>
    <mergeCell ref="T10:T11"/>
    <mergeCell ref="R12:R13"/>
    <mergeCell ref="S12:S13"/>
    <mergeCell ref="O19:O20"/>
    <mergeCell ref="P19:P20"/>
    <mergeCell ref="Q19:Q20"/>
    <mergeCell ref="O21:O22"/>
    <mergeCell ref="P21:P22"/>
    <mergeCell ref="Q21:Q22"/>
    <mergeCell ref="O12:O13"/>
    <mergeCell ref="P12:P13"/>
    <mergeCell ref="Q12:Q13"/>
    <mergeCell ref="R32:R33"/>
    <mergeCell ref="S32:S33"/>
    <mergeCell ref="T32:T33"/>
    <mergeCell ref="R6:T6"/>
    <mergeCell ref="R7:T7"/>
    <mergeCell ref="R15:T15"/>
    <mergeCell ref="R16:T16"/>
    <mergeCell ref="R28:T28"/>
    <mergeCell ref="R29:T29"/>
    <mergeCell ref="R25:R26"/>
    <mergeCell ref="S25:S26"/>
    <mergeCell ref="T25:T26"/>
    <mergeCell ref="R30:R31"/>
    <mergeCell ref="S30:S31"/>
    <mergeCell ref="T30:T31"/>
    <mergeCell ref="R21:R22"/>
    <mergeCell ref="S21:S22"/>
    <mergeCell ref="T21:T22"/>
    <mergeCell ref="R23:R24"/>
    <mergeCell ref="S23:S24"/>
    <mergeCell ref="T23:T24"/>
    <mergeCell ref="T12:T13"/>
    <mergeCell ref="R17:R18"/>
    <mergeCell ref="S17:S18"/>
    <mergeCell ref="U6:W6"/>
    <mergeCell ref="U7:W7"/>
    <mergeCell ref="U8:U9"/>
    <mergeCell ref="V8:V9"/>
    <mergeCell ref="W8:W9"/>
    <mergeCell ref="U10:U11"/>
    <mergeCell ref="V10:V11"/>
    <mergeCell ref="W10:W11"/>
    <mergeCell ref="U12:U13"/>
    <mergeCell ref="V12:V13"/>
    <mergeCell ref="W12:W13"/>
    <mergeCell ref="U15:W15"/>
    <mergeCell ref="U16:W16"/>
    <mergeCell ref="U17:U18"/>
    <mergeCell ref="V17:V18"/>
    <mergeCell ref="W17:W18"/>
    <mergeCell ref="U19:U20"/>
    <mergeCell ref="V19:V20"/>
    <mergeCell ref="W19:W20"/>
    <mergeCell ref="U21:U22"/>
    <mergeCell ref="V21:V22"/>
    <mergeCell ref="W21:W22"/>
    <mergeCell ref="U32:U33"/>
    <mergeCell ref="V32:V33"/>
    <mergeCell ref="W32:W33"/>
    <mergeCell ref="U23:U24"/>
    <mergeCell ref="V23:V24"/>
    <mergeCell ref="W23:W24"/>
    <mergeCell ref="U25:U26"/>
    <mergeCell ref="V25:V26"/>
    <mergeCell ref="W25:W26"/>
    <mergeCell ref="U28:W28"/>
    <mergeCell ref="U29:W29"/>
    <mergeCell ref="U30:U31"/>
    <mergeCell ref="V30:V31"/>
    <mergeCell ref="W30:W31"/>
    <mergeCell ref="AB21:AB22"/>
    <mergeCell ref="AC21:AC22"/>
    <mergeCell ref="AA6:AC6"/>
    <mergeCell ref="AA7:AC7"/>
    <mergeCell ref="AA8:AA9"/>
    <mergeCell ref="AB8:AB9"/>
    <mergeCell ref="AC8:AC9"/>
    <mergeCell ref="AA10:AA11"/>
    <mergeCell ref="AB10:AB11"/>
    <mergeCell ref="AC10:AC11"/>
    <mergeCell ref="AA12:AA13"/>
    <mergeCell ref="AB12:AB13"/>
    <mergeCell ref="AC12:AC13"/>
    <mergeCell ref="AD6:AF6"/>
    <mergeCell ref="AA32:AA33"/>
    <mergeCell ref="AB32:AB33"/>
    <mergeCell ref="AC32:AC33"/>
    <mergeCell ref="AA23:AA24"/>
    <mergeCell ref="AB23:AB24"/>
    <mergeCell ref="AC23:AC24"/>
    <mergeCell ref="AA25:AA26"/>
    <mergeCell ref="AB25:AB26"/>
    <mergeCell ref="AC25:AC26"/>
    <mergeCell ref="AA28:AC28"/>
    <mergeCell ref="AA29:AC29"/>
    <mergeCell ref="AA30:AA31"/>
    <mergeCell ref="AB30:AB31"/>
    <mergeCell ref="AC30:AC31"/>
    <mergeCell ref="AA15:AC15"/>
    <mergeCell ref="AA16:AC16"/>
    <mergeCell ref="AA17:AA18"/>
    <mergeCell ref="AB17:AB18"/>
    <mergeCell ref="AC17:AC18"/>
    <mergeCell ref="AA19:AA20"/>
    <mergeCell ref="AB19:AB20"/>
    <mergeCell ref="AC19:AC20"/>
    <mergeCell ref="AA21:AA22"/>
    <mergeCell ref="AF21:AF22"/>
    <mergeCell ref="AD7:AF7"/>
    <mergeCell ref="AD8:AD9"/>
    <mergeCell ref="AE8:AE9"/>
    <mergeCell ref="AF8:AF9"/>
    <mergeCell ref="AD10:AD11"/>
    <mergeCell ref="AE10:AE11"/>
    <mergeCell ref="AF10:AF11"/>
    <mergeCell ref="AD12:AD13"/>
    <mergeCell ref="AE12:AE13"/>
    <mergeCell ref="AF12:AF13"/>
    <mergeCell ref="AD32:AD33"/>
    <mergeCell ref="AE32:AE33"/>
    <mergeCell ref="AF32:AF33"/>
    <mergeCell ref="AD15:AF15"/>
    <mergeCell ref="AD28:AF28"/>
    <mergeCell ref="AD23:AD24"/>
    <mergeCell ref="AE23:AE24"/>
    <mergeCell ref="AF23:AF24"/>
    <mergeCell ref="AD25:AD26"/>
    <mergeCell ref="AE25:AE26"/>
    <mergeCell ref="AF25:AF26"/>
    <mergeCell ref="AD29:AF29"/>
    <mergeCell ref="AD30:AD31"/>
    <mergeCell ref="AE30:AE31"/>
    <mergeCell ref="AF30:AF31"/>
    <mergeCell ref="AD16:AF16"/>
    <mergeCell ref="AD17:AD18"/>
    <mergeCell ref="AE17:AE18"/>
    <mergeCell ref="AF17:AF18"/>
    <mergeCell ref="AD19:AD20"/>
    <mergeCell ref="AE19:AE20"/>
    <mergeCell ref="AF19:AF20"/>
    <mergeCell ref="AD21:AD22"/>
    <mergeCell ref="AE21:AE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A24" sqref="A24"/>
    </sheetView>
  </sheetViews>
  <sheetFormatPr defaultColWidth="32.5703125" defaultRowHeight="15" x14ac:dyDescent="0.25"/>
  <cols>
    <col min="1" max="1" width="18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06">
        <v>42767</v>
      </c>
      <c r="B1" s="93"/>
      <c r="C1" s="93"/>
      <c r="D1" s="93"/>
      <c r="E1" s="157" t="s">
        <v>129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Table14235694810[[#This Row],[Emergency NFI]]+Table14235694810[[#This Row],[NFI Replenishment ]]+Table14235694810[[#This Row],[NFI3]]</f>
        <v>1764</v>
      </c>
      <c r="F3" s="91">
        <f>Table14235694810[[#This Row],[Emergency Shelter]]+Table14235694810[[#This Row],[Shelter Upgrade/Repair]]+Table14235694810[[#This Row],[Shelter and housing options]]</f>
        <v>3240</v>
      </c>
      <c r="G3" s="91">
        <v>1764</v>
      </c>
      <c r="H3" s="91">
        <v>0</v>
      </c>
      <c r="I3" s="91">
        <v>0</v>
      </c>
      <c r="J3" s="91">
        <v>3240</v>
      </c>
      <c r="K3" s="91">
        <v>0</v>
      </c>
      <c r="L3" s="90">
        <v>0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Table14235694810[[#This Row],[Emergency NFI]]+Table14235694810[[#This Row],[NFI Replenishment ]]+Table14235694810[[#This Row],[NFI3]]</f>
        <v>0</v>
      </c>
      <c r="F4" s="5">
        <f>Table14235694810[[#This Row],[Emergency Shelter]]+Table14235694810[[#This Row],[Shelter Upgrade/Repair]]+Table14235694810[[#This Row],[Shelter and housing options]]</f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89">
        <v>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Table14235694810[[#This Row],[Emergency NFI]]+Table14235694810[[#This Row],[NFI Replenishment ]]+Table14235694810[[#This Row],[NFI3]]</f>
        <v>0</v>
      </c>
      <c r="F5" s="5">
        <f>Table14235694810[[#This Row],[Emergency Shelter]]+Table14235694810[[#This Row],[Shelter Upgrade/Repair]]+Table14235694810[[#This Row],[Shelter and housing options]]</f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89">
        <v>0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Table14235694810[[#This Row],[Emergency NFI]]+Table14235694810[[#This Row],[NFI Replenishment ]]+Table14235694810[[#This Row],[NFI3]]</f>
        <v>144</v>
      </c>
      <c r="F6" s="5">
        <f>Table14235694810[[#This Row],[Emergency Shelter]]+Table14235694810[[#This Row],[Shelter Upgrade/Repair]]+Table14235694810[[#This Row],[Shelter and housing options]]</f>
        <v>0</v>
      </c>
      <c r="G6" s="5">
        <v>144</v>
      </c>
      <c r="H6" s="5">
        <v>0</v>
      </c>
      <c r="I6" s="5">
        <v>0</v>
      </c>
      <c r="J6" s="5">
        <v>0</v>
      </c>
      <c r="K6" s="5">
        <v>0</v>
      </c>
      <c r="L6" s="89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Table14235694810[[#This Row],[Emergency NFI]]+Table14235694810[[#This Row],[NFI Replenishment ]]+Table14235694810[[#This Row],[NFI3]]</f>
        <v>0</v>
      </c>
      <c r="F7" s="5">
        <f>Table14235694810[[#This Row],[Emergency Shelter]]+Table14235694810[[#This Row],[Shelter Upgrade/Repair]]+Table14235694810[[#This Row],[Shelter and housing options]]</f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89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Table14235694810[[#This Row],[Emergency NFI]]+Table14235694810[[#This Row],[NFI Replenishment ]]+Table14235694810[[#This Row],[NFI3]]</f>
        <v>0</v>
      </c>
      <c r="F8" s="5">
        <f>Table14235694810[[#This Row],[Emergency Shelter]]+Table14235694810[[#This Row],[Shelter Upgrade/Repair]]+Table14235694810[[#This Row],[Shelter and housing options]]</f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89">
        <v>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Table14235694810[[#This Row],[Emergency NFI]]+Table14235694810[[#This Row],[NFI Replenishment ]]+Table14235694810[[#This Row],[NFI3]]</f>
        <v>0</v>
      </c>
      <c r="F9" s="5">
        <f>Table14235694810[[#This Row],[Emergency Shelter]]+Table14235694810[[#This Row],[Shelter Upgrade/Repair]]+Table14235694810[[#This Row],[Shelter and housing options]]</f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89">
        <v>0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Table14235694810[[#This Row],[Emergency NFI]]+Table14235694810[[#This Row],[NFI Replenishment ]]+Table14235694810[[#This Row],[NFI3]]</f>
        <v>0</v>
      </c>
      <c r="F10" s="5">
        <f>Table14235694810[[#This Row],[Emergency Shelter]]+Table14235694810[[#This Row],[Shelter Upgrade/Repair]]+Table14235694810[[#This Row],[Shelter and housing options]]</f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89">
        <v>0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Table14235694810[[#This Row],[Emergency NFI]]+Table14235694810[[#This Row],[NFI Replenishment ]]+Table14235694810[[#This Row],[NFI3]]</f>
        <v>5586</v>
      </c>
      <c r="F11" s="5">
        <f>Table14235694810[[#This Row],[Emergency Shelter]]+Table14235694810[[#This Row],[Shelter Upgrade/Repair]]+Table14235694810[[#This Row],[Shelter and housing options]]</f>
        <v>72870</v>
      </c>
      <c r="G11" s="5">
        <v>5586</v>
      </c>
      <c r="H11" s="5">
        <v>63708</v>
      </c>
      <c r="I11" s="5">
        <v>0</v>
      </c>
      <c r="J11" s="5">
        <v>9162</v>
      </c>
      <c r="K11" s="5">
        <v>0</v>
      </c>
      <c r="L11" s="89">
        <v>0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Table14235694810[[#This Row],[Emergency NFI]]+Table14235694810[[#This Row],[NFI Replenishment ]]+Table14235694810[[#This Row],[NFI3]]</f>
        <v>0</v>
      </c>
      <c r="F12" s="5">
        <f>Table14235694810[[#This Row],[Emergency Shelter]]+Table14235694810[[#This Row],[Shelter Upgrade/Repair]]+Table14235694810[[#This Row],[Shelter and housing options]]</f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89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Table14235694810[[#This Row],[Emergency NFI]]+Table14235694810[[#This Row],[NFI Replenishment ]]+Table14235694810[[#This Row],[NFI3]]</f>
        <v>12</v>
      </c>
      <c r="F13" s="5">
        <f>Table14235694810[[#This Row],[Emergency Shelter]]+Table14235694810[[#This Row],[Shelter Upgrade/Repair]]+Table14235694810[[#This Row],[Shelter and housing options]]</f>
        <v>0</v>
      </c>
      <c r="G13" s="5">
        <v>12</v>
      </c>
      <c r="H13" s="5">
        <v>0</v>
      </c>
      <c r="I13" s="5">
        <v>0</v>
      </c>
      <c r="J13" s="5">
        <v>0</v>
      </c>
      <c r="K13" s="5">
        <v>0</v>
      </c>
      <c r="L13" s="89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Table14235694810[[#This Row],[Emergency NFI]]+Table14235694810[[#This Row],[NFI Replenishment ]]+Table14235694810[[#This Row],[NFI3]]</f>
        <v>0</v>
      </c>
      <c r="F14" s="5">
        <f>Table14235694810[[#This Row],[Emergency Shelter]]+Table14235694810[[#This Row],[Shelter Upgrade/Repair]]+Table14235694810[[#This Row],[Shelter and housing options]]</f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89">
        <v>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Table14235694810[[#This Row],[Emergency NFI]]+Table14235694810[[#This Row],[NFI Replenishment ]]+Table14235694810[[#This Row],[NFI3]]</f>
        <v>56640</v>
      </c>
      <c r="F15" s="5">
        <f>Table14235694810[[#This Row],[Emergency Shelter]]+Table14235694810[[#This Row],[Shelter Upgrade/Repair]]+Table14235694810[[#This Row],[Shelter and housing options]]</f>
        <v>70848</v>
      </c>
      <c r="G15" s="5">
        <v>56640</v>
      </c>
      <c r="H15" s="5">
        <v>61692</v>
      </c>
      <c r="I15" s="5">
        <v>0</v>
      </c>
      <c r="J15" s="5">
        <v>9156</v>
      </c>
      <c r="K15" s="5">
        <v>0</v>
      </c>
      <c r="L15" s="89">
        <v>0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Table14235694810[[#This Row],[Emergency NFI]]+Table14235694810[[#This Row],[NFI Replenishment ]]+Table14235694810[[#This Row],[NFI3]]</f>
        <v>60</v>
      </c>
      <c r="F16" s="5">
        <f>Table14235694810[[#This Row],[Emergency Shelter]]+Table14235694810[[#This Row],[Shelter Upgrade/Repair]]+Table14235694810[[#This Row],[Shelter and housing options]]</f>
        <v>0</v>
      </c>
      <c r="G16" s="5">
        <v>60</v>
      </c>
      <c r="H16" s="5">
        <v>0</v>
      </c>
      <c r="I16" s="5">
        <v>0</v>
      </c>
      <c r="J16" s="5">
        <v>0</v>
      </c>
      <c r="K16" s="5">
        <v>0</v>
      </c>
      <c r="L16" s="89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Table14235694810[[#This Row],[Emergency NFI]]+Table14235694810[[#This Row],[NFI Replenishment ]]+Table14235694810[[#This Row],[NFI3]]</f>
        <v>12492</v>
      </c>
      <c r="F17" s="5">
        <f>Table14235694810[[#This Row],[Emergency Shelter]]+Table14235694810[[#This Row],[Shelter Upgrade/Repair]]+Table14235694810[[#This Row],[Shelter and housing options]]</f>
        <v>39774</v>
      </c>
      <c r="G17" s="5">
        <v>12492</v>
      </c>
      <c r="H17" s="5">
        <v>14934</v>
      </c>
      <c r="I17" s="5">
        <v>0</v>
      </c>
      <c r="J17" s="5">
        <v>24840</v>
      </c>
      <c r="K17" s="5">
        <v>0</v>
      </c>
      <c r="L17" s="89">
        <v>0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Table14235694810[[#This Row],[Emergency NFI]]+Table14235694810[[#This Row],[NFI Replenishment ]]+Table14235694810[[#This Row],[NFI3]]</f>
        <v>0</v>
      </c>
      <c r="F18" s="5">
        <f>Table14235694810[[#This Row],[Emergency Shelter]]+Table14235694810[[#This Row],[Shelter Upgrade/Repair]]+Table14235694810[[#This Row],[Shelter and housing options]]</f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89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Table14235694810[[#This Row],[Emergency NFI]]+Table14235694810[[#This Row],[NFI Replenishment ]]+Table14235694810[[#This Row],[NFI3]]</f>
        <v>0</v>
      </c>
      <c r="F19" s="5">
        <f>Table14235694810[[#This Row],[Emergency Shelter]]+Table14235694810[[#This Row],[Shelter Upgrade/Repair]]+Table14235694810[[#This Row],[Shelter and housing options]]</f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89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Table14235694810[[#This Row],[Emergency NFI]]+Table14235694810[[#This Row],[NFI Replenishment ]]+Table14235694810[[#This Row],[NFI3]]</f>
        <v>0</v>
      </c>
      <c r="F20" s="5">
        <f>Table14235694810[[#This Row],[Emergency Shelter]]+Table14235694810[[#This Row],[Shelter Upgrade/Repair]]+Table14235694810[[#This Row],[Shelter and housing options]]</f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89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76698</v>
      </c>
      <c r="F21" s="9">
        <f>Table14235694810[[#This Row],[Emergency Shelter]]+Table14235694810[[#This Row],[Shelter Upgrade/Repair]]+Table14235694810[[#This Row],[Shelter and housing options]]</f>
        <v>186732</v>
      </c>
      <c r="G21" s="9">
        <f>SUBTOTAL(109,G3:G20)</f>
        <v>76698</v>
      </c>
      <c r="H21" s="9">
        <f>SUBTOTAL(109,H3:H20)</f>
        <v>140334</v>
      </c>
      <c r="I21" s="9">
        <f t="shared" ref="I21:K21" si="0">SUBTOTAL(109,I3:I20)</f>
        <v>0</v>
      </c>
      <c r="J21" s="9">
        <f t="shared" ref="J21" si="1">SUBTOTAL(109,J3:J20)</f>
        <v>46398</v>
      </c>
      <c r="K21" s="9">
        <f t="shared" si="0"/>
        <v>0</v>
      </c>
      <c r="L21" s="9">
        <f t="shared" ref="L21" si="2">SUBTOTAL(109,L3:L20)</f>
        <v>0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K22" si="3">D21/6</f>
        <v>387723.49999999994</v>
      </c>
      <c r="E22" s="11">
        <f t="shared" si="3"/>
        <v>12783</v>
      </c>
      <c r="F22" s="11">
        <f>Table14235694810[[#This Row],[Emergency Shelter]]+Table14235694810[[#This Row],[Shelter Upgrade/Repair]]+Table14235694810[[#This Row],[Shelter and housing options]]</f>
        <v>31122</v>
      </c>
      <c r="G22" s="11">
        <f t="shared" si="3"/>
        <v>12783</v>
      </c>
      <c r="H22" s="11">
        <f t="shared" ref="H22" si="4">H21/6</f>
        <v>23389</v>
      </c>
      <c r="I22" s="11">
        <f t="shared" si="3"/>
        <v>0</v>
      </c>
      <c r="J22" s="11">
        <f t="shared" ref="J22" si="5">J21/6</f>
        <v>7733</v>
      </c>
      <c r="K22" s="11">
        <f t="shared" si="3"/>
        <v>0</v>
      </c>
      <c r="L22" s="11">
        <f t="shared" ref="L22" si="6">L21/6</f>
        <v>0</v>
      </c>
    </row>
    <row r="23" spans="1:12" x14ac:dyDescent="0.25">
      <c r="A23" s="99"/>
      <c r="B23" s="100"/>
      <c r="C23" s="101"/>
      <c r="D23" s="101"/>
      <c r="E23" s="96">
        <f>E21/D21</f>
        <v>3.2969371214280285E-2</v>
      </c>
      <c r="F23" s="96">
        <f>F21/D21</f>
        <v>8.0268541886163738E-2</v>
      </c>
      <c r="G23" s="102"/>
      <c r="H23" s="101"/>
      <c r="I23" s="102"/>
      <c r="J23" s="101"/>
      <c r="K23" s="102"/>
      <c r="L23" s="10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7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7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8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9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9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9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9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9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9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9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9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9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9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9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9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9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9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9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9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9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10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11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A24" sqref="A24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06">
        <v>42795</v>
      </c>
      <c r="B1" s="93"/>
      <c r="C1" s="93"/>
      <c r="D1" s="93"/>
      <c r="E1" s="157" t="s">
        <v>130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Table1423569481011[[#This Row],[Emergency NFI]]+Table1423569481011[[#This Row],[NFI Replenishment ]]+Table1423569481011[[#This Row],[NFI3]]</f>
        <v>8868</v>
      </c>
      <c r="F3" s="91">
        <f>Table1423569481011[[#This Row],[Emergency Shelter]]+Table1423569481011[[#This Row],[Shelter Upgrade/Repair]]+Table1423569481011[[#This Row],[Shelter and housing options]]</f>
        <v>0</v>
      </c>
      <c r="G3" s="91">
        <v>8868</v>
      </c>
      <c r="H3" s="91">
        <v>0</v>
      </c>
      <c r="I3" s="91">
        <v>0</v>
      </c>
      <c r="J3" s="91">
        <v>0</v>
      </c>
      <c r="K3" s="91">
        <v>0</v>
      </c>
      <c r="L3" s="90">
        <v>0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Table1423569481011[[#This Row],[Emergency NFI]]+Table1423569481011[[#This Row],[NFI Replenishment ]]+Table1423569481011[[#This Row],[NFI3]]</f>
        <v>0</v>
      </c>
      <c r="F4" s="5">
        <f>Table1423569481011[[#This Row],[Emergency Shelter]]+Table1423569481011[[#This Row],[Shelter Upgrade/Repair]]+Table1423569481011[[#This Row],[Shelter and housing options]]</f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89">
        <v>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Table1423569481011[[#This Row],[Emergency NFI]]+Table1423569481011[[#This Row],[NFI Replenishment ]]+Table1423569481011[[#This Row],[NFI3]]</f>
        <v>2238</v>
      </c>
      <c r="F5" s="5">
        <f>Table1423569481011[[#This Row],[Emergency Shelter]]+Table1423569481011[[#This Row],[Shelter Upgrade/Repair]]+Table1423569481011[[#This Row],[Shelter and housing options]]</f>
        <v>1998</v>
      </c>
      <c r="G5" s="5">
        <v>2238</v>
      </c>
      <c r="H5" s="5">
        <v>0</v>
      </c>
      <c r="I5" s="5">
        <v>0</v>
      </c>
      <c r="J5" s="5">
        <v>1788</v>
      </c>
      <c r="K5" s="5">
        <v>0</v>
      </c>
      <c r="L5" s="89">
        <f>35*6</f>
        <v>210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Table1423569481011[[#This Row],[Emergency NFI]]+Table1423569481011[[#This Row],[NFI Replenishment ]]+Table1423569481011[[#This Row],[NFI3]]</f>
        <v>156</v>
      </c>
      <c r="F6" s="5">
        <f>Table1423569481011[[#This Row],[Emergency Shelter]]+Table1423569481011[[#This Row],[Shelter Upgrade/Repair]]+Table1423569481011[[#This Row],[Shelter and housing options]]</f>
        <v>0</v>
      </c>
      <c r="G6" s="5">
        <v>156</v>
      </c>
      <c r="H6" s="5">
        <v>0</v>
      </c>
      <c r="I6" s="5">
        <v>0</v>
      </c>
      <c r="J6" s="5">
        <v>0</v>
      </c>
      <c r="K6" s="5">
        <v>0</v>
      </c>
      <c r="L6" s="89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Table1423569481011[[#This Row],[Emergency NFI]]+Table1423569481011[[#This Row],[NFI Replenishment ]]+Table1423569481011[[#This Row],[NFI3]]</f>
        <v>0</v>
      </c>
      <c r="F7" s="5">
        <f>Table1423569481011[[#This Row],[Emergency Shelter]]+Table1423569481011[[#This Row],[Shelter Upgrade/Repair]]+Table1423569481011[[#This Row],[Shelter and housing options]]</f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89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Table1423569481011[[#This Row],[Emergency NFI]]+Table1423569481011[[#This Row],[NFI Replenishment ]]+Table1423569481011[[#This Row],[NFI3]]</f>
        <v>96</v>
      </c>
      <c r="F8" s="5">
        <f>Table1423569481011[[#This Row],[Emergency Shelter]]+Table1423569481011[[#This Row],[Shelter Upgrade/Repair]]+Table1423569481011[[#This Row],[Shelter and housing options]]</f>
        <v>300</v>
      </c>
      <c r="G8" s="5">
        <v>96</v>
      </c>
      <c r="H8" s="5">
        <v>0</v>
      </c>
      <c r="I8" s="5">
        <v>0</v>
      </c>
      <c r="J8" s="5">
        <v>0</v>
      </c>
      <c r="K8" s="5">
        <v>0</v>
      </c>
      <c r="L8" s="89">
        <f>50*6</f>
        <v>300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Table1423569481011[[#This Row],[Emergency NFI]]+Table1423569481011[[#This Row],[NFI Replenishment ]]+Table1423569481011[[#This Row],[NFI3]]</f>
        <v>36012</v>
      </c>
      <c r="F9" s="5">
        <f>Table1423569481011[[#This Row],[Emergency Shelter]]+Table1423569481011[[#This Row],[Shelter Upgrade/Repair]]+Table1423569481011[[#This Row],[Shelter and housing options]]</f>
        <v>0</v>
      </c>
      <c r="G9" s="5">
        <v>36012</v>
      </c>
      <c r="H9" s="5">
        <v>0</v>
      </c>
      <c r="I9" s="5">
        <v>0</v>
      </c>
      <c r="J9" s="5">
        <v>0</v>
      </c>
      <c r="K9" s="5">
        <v>0</v>
      </c>
      <c r="L9" s="89">
        <v>0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Table1423569481011[[#This Row],[Emergency NFI]]+Table1423569481011[[#This Row],[NFI Replenishment ]]+Table1423569481011[[#This Row],[NFI3]]</f>
        <v>0</v>
      </c>
      <c r="F10" s="5">
        <f>Table1423569481011[[#This Row],[Emergency Shelter]]+Table1423569481011[[#This Row],[Shelter Upgrade/Repair]]+Table1423569481011[[#This Row],[Shelter and housing options]]</f>
        <v>204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89">
        <f>34*6</f>
        <v>204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Table1423569481011[[#This Row],[Emergency NFI]]+Table1423569481011[[#This Row],[NFI Replenishment ]]+Table1423569481011[[#This Row],[NFI3]]</f>
        <v>20292</v>
      </c>
      <c r="F11" s="5">
        <f>Table1423569481011[[#This Row],[Emergency Shelter]]+Table1423569481011[[#This Row],[Shelter Upgrade/Repair]]+Table1423569481011[[#This Row],[Shelter and housing options]]</f>
        <v>25368</v>
      </c>
      <c r="G11" s="5">
        <v>20292</v>
      </c>
      <c r="H11" s="5">
        <v>150</v>
      </c>
      <c r="I11" s="5">
        <v>0</v>
      </c>
      <c r="J11" s="5">
        <v>25104</v>
      </c>
      <c r="K11" s="5">
        <v>0</v>
      </c>
      <c r="L11" s="89">
        <f>19*6</f>
        <v>114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Table1423569481011[[#This Row],[Emergency NFI]]+Table1423569481011[[#This Row],[NFI Replenishment ]]+Table1423569481011[[#This Row],[NFI3]]</f>
        <v>0</v>
      </c>
      <c r="F12" s="5">
        <f>Table1423569481011[[#This Row],[Emergency Shelter]]+Table1423569481011[[#This Row],[Shelter Upgrade/Repair]]+Table1423569481011[[#This Row],[Shelter and housing options]]</f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89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Table1423569481011[[#This Row],[Emergency NFI]]+Table1423569481011[[#This Row],[NFI Replenishment ]]+Table1423569481011[[#This Row],[NFI3]]</f>
        <v>0</v>
      </c>
      <c r="F13" s="5">
        <f>Table1423569481011[[#This Row],[Emergency Shelter]]+Table1423569481011[[#This Row],[Shelter Upgrade/Repair]]+Table1423569481011[[#This Row],[Shelter and housing options]]</f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89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Table1423569481011[[#This Row],[Emergency NFI]]+Table1423569481011[[#This Row],[NFI Replenishment ]]+Table1423569481011[[#This Row],[NFI3]]</f>
        <v>0</v>
      </c>
      <c r="F14" s="5">
        <f>Table1423569481011[[#This Row],[Emergency Shelter]]+Table1423569481011[[#This Row],[Shelter Upgrade/Repair]]+Table1423569481011[[#This Row],[Shelter and housing options]]</f>
        <v>240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89">
        <f>40*6</f>
        <v>240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Table1423569481011[[#This Row],[Emergency NFI]]+Table1423569481011[[#This Row],[NFI Replenishment ]]+Table1423569481011[[#This Row],[NFI3]]</f>
        <v>200766</v>
      </c>
      <c r="F15" s="5">
        <f>Table1423569481011[[#This Row],[Emergency Shelter]]+Table1423569481011[[#This Row],[Shelter Upgrade/Repair]]+Table1423569481011[[#This Row],[Shelter and housing options]]</f>
        <v>86610</v>
      </c>
      <c r="G15" s="5">
        <v>200766</v>
      </c>
      <c r="H15" s="5">
        <v>70260</v>
      </c>
      <c r="I15" s="5">
        <v>0</v>
      </c>
      <c r="J15" s="5">
        <v>16350</v>
      </c>
      <c r="K15" s="5">
        <v>0</v>
      </c>
      <c r="L15" s="89">
        <v>0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Table1423569481011[[#This Row],[Emergency NFI]]+Table1423569481011[[#This Row],[NFI Replenishment ]]+Table1423569481011[[#This Row],[NFI3]]</f>
        <v>0</v>
      </c>
      <c r="F16" s="5">
        <f>Table1423569481011[[#This Row],[Emergency Shelter]]+Table1423569481011[[#This Row],[Shelter Upgrade/Repair]]+Table1423569481011[[#This Row],[Shelter and housing options]]</f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89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Table1423569481011[[#This Row],[Emergency NFI]]+Table1423569481011[[#This Row],[NFI Replenishment ]]+Table1423569481011[[#This Row],[NFI3]]</f>
        <v>39300</v>
      </c>
      <c r="F17" s="5">
        <f>Table1423569481011[[#This Row],[Emergency Shelter]]+Table1423569481011[[#This Row],[Shelter Upgrade/Repair]]+Table1423569481011[[#This Row],[Shelter and housing options]]</f>
        <v>1662</v>
      </c>
      <c r="G17" s="5">
        <v>39300</v>
      </c>
      <c r="H17" s="5">
        <v>600</v>
      </c>
      <c r="I17" s="5">
        <v>0</v>
      </c>
      <c r="J17" s="5">
        <v>0</v>
      </c>
      <c r="K17" s="5">
        <v>0</v>
      </c>
      <c r="L17" s="89">
        <f>177*6</f>
        <v>1062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Table1423569481011[[#This Row],[Emergency NFI]]+Table1423569481011[[#This Row],[NFI Replenishment ]]+Table1423569481011[[#This Row],[NFI3]]</f>
        <v>42</v>
      </c>
      <c r="F18" s="5">
        <f>Table1423569481011[[#This Row],[Emergency Shelter]]+Table1423569481011[[#This Row],[Shelter Upgrade/Repair]]+Table1423569481011[[#This Row],[Shelter and housing options]]</f>
        <v>36</v>
      </c>
      <c r="G18" s="5">
        <v>42</v>
      </c>
      <c r="H18" s="5">
        <v>0</v>
      </c>
      <c r="I18" s="5">
        <v>0</v>
      </c>
      <c r="J18" s="5">
        <v>36</v>
      </c>
      <c r="K18" s="5">
        <v>0</v>
      </c>
      <c r="L18" s="89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Table1423569481011[[#This Row],[Emergency NFI]]+Table1423569481011[[#This Row],[NFI Replenishment ]]+Table1423569481011[[#This Row],[NFI3]]</f>
        <v>138</v>
      </c>
      <c r="F19" s="5">
        <f>Table1423569481011[[#This Row],[Emergency Shelter]]+Table1423569481011[[#This Row],[Shelter Upgrade/Repair]]+Table1423569481011[[#This Row],[Shelter and housing options]]</f>
        <v>0</v>
      </c>
      <c r="G19" s="5">
        <v>138</v>
      </c>
      <c r="H19" s="5">
        <v>0</v>
      </c>
      <c r="I19" s="5">
        <v>0</v>
      </c>
      <c r="J19" s="5">
        <v>0</v>
      </c>
      <c r="K19" s="5">
        <v>0</v>
      </c>
      <c r="L19" s="89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Table1423569481011[[#This Row],[Emergency NFI]]+Table1423569481011[[#This Row],[NFI Replenishment ]]+Table1423569481011[[#This Row],[NFI3]]</f>
        <v>0</v>
      </c>
      <c r="F20" s="5">
        <f>Table1423569481011[[#This Row],[Emergency Shelter]]+Table1423569481011[[#This Row],[Shelter Upgrade/Repair]]+Table1423569481011[[#This Row],[Shelter and housing options]]</f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89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307908</v>
      </c>
      <c r="F21" s="9">
        <f>Table1423569481011[[#This Row],[Emergency Shelter]]+Table1423569481011[[#This Row],[Shelter Upgrade/Repair]]+Table1423569481011[[#This Row],[Shelter and housing options]]</f>
        <v>116418</v>
      </c>
      <c r="G21" s="9">
        <f>SUBTOTAL(109,G3:G20)</f>
        <v>307908</v>
      </c>
      <c r="H21" s="9">
        <f>SUBTOTAL(109,H3:H20)</f>
        <v>71010</v>
      </c>
      <c r="I21" s="9">
        <f t="shared" ref="I21:K21" si="0">SUBTOTAL(109,I3:I20)</f>
        <v>0</v>
      </c>
      <c r="J21" s="9">
        <f t="shared" ref="J21" si="1">SUBTOTAL(109,J3:J20)</f>
        <v>43278</v>
      </c>
      <c r="K21" s="9">
        <f t="shared" si="0"/>
        <v>0</v>
      </c>
      <c r="L21" s="9">
        <f t="shared" ref="L21" si="2">SUBTOTAL(109,L3:L20)</f>
        <v>2130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K22" si="3">D21/6</f>
        <v>387723.49999999994</v>
      </c>
      <c r="E22" s="11">
        <f t="shared" si="3"/>
        <v>51318</v>
      </c>
      <c r="F22" s="11">
        <f>Table1423569481011[[#This Row],[Emergency Shelter]]+Table1423569481011[[#This Row],[Shelter Upgrade/Repair]]+Table1423569481011[[#This Row],[Shelter and housing options]]</f>
        <v>19403</v>
      </c>
      <c r="G22" s="11">
        <f t="shared" si="3"/>
        <v>51318</v>
      </c>
      <c r="H22" s="11">
        <f t="shared" ref="H22" si="4">H21/6</f>
        <v>11835</v>
      </c>
      <c r="I22" s="11">
        <f t="shared" si="3"/>
        <v>0</v>
      </c>
      <c r="J22" s="11">
        <f t="shared" ref="J22" si="5">J21/6</f>
        <v>7213</v>
      </c>
      <c r="K22" s="11">
        <f t="shared" si="3"/>
        <v>0</v>
      </c>
      <c r="L22" s="11">
        <f t="shared" ref="L22" si="6">L21/6</f>
        <v>355</v>
      </c>
    </row>
    <row r="23" spans="1:12" x14ac:dyDescent="0.25">
      <c r="A23" s="99"/>
      <c r="B23" s="100"/>
      <c r="C23" s="101"/>
      <c r="D23" s="101"/>
      <c r="E23" s="96">
        <f>E21/D21</f>
        <v>0.13235720816509705</v>
      </c>
      <c r="F23" s="96">
        <f>F21/D21</f>
        <v>5.0043394326111275E-2</v>
      </c>
      <c r="G23" s="102"/>
      <c r="H23" s="101"/>
      <c r="I23" s="102"/>
      <c r="J23" s="101"/>
      <c r="K23" s="102"/>
      <c r="L23" s="10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7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7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8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9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9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9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9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9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9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9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9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9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9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9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9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9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9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9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9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9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10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11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A24" sqref="A24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06">
        <v>42826</v>
      </c>
      <c r="B1" s="93"/>
      <c r="C1" s="93"/>
      <c r="D1" s="93"/>
      <c r="E1" s="157" t="s">
        <v>131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Table142356948101112[[#This Row],[Emergency NFI]]+Table142356948101112[[#This Row],[NFI Replenishment ]]+Table142356948101112[[#This Row],[NFI3]]</f>
        <v>0</v>
      </c>
      <c r="F3" s="91">
        <f>Table142356948101112[[#This Row],[Emergency Shelter]]+Table142356948101112[[#This Row],[Shelter Upgrade/Repair]]+Table142356948101112[[#This Row],[Shelter and housing options]]</f>
        <v>2076</v>
      </c>
      <c r="G3" s="91">
        <v>0</v>
      </c>
      <c r="H3" s="91">
        <v>2058</v>
      </c>
      <c r="I3" s="91">
        <v>0</v>
      </c>
      <c r="J3" s="91">
        <v>18</v>
      </c>
      <c r="K3" s="91">
        <v>0</v>
      </c>
      <c r="L3" s="90">
        <v>0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Table142356948101112[[#This Row],[Emergency NFI]]+Table142356948101112[[#This Row],[NFI Replenishment ]]+Table142356948101112[[#This Row],[NFI3]]</f>
        <v>0</v>
      </c>
      <c r="F4" s="5">
        <f>Table142356948101112[[#This Row],[Emergency Shelter]]+Table142356948101112[[#This Row],[Shelter Upgrade/Repair]]+Table142356948101112[[#This Row],[Shelter and housing options]]</f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89">
        <v>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Table142356948101112[[#This Row],[Emergency NFI]]+Table142356948101112[[#This Row],[NFI Replenishment ]]+Table142356948101112[[#This Row],[NFI3]]</f>
        <v>600</v>
      </c>
      <c r="F5" s="5">
        <f>Table142356948101112[[#This Row],[Emergency Shelter]]+Table142356948101112[[#This Row],[Shelter Upgrade/Repair]]+Table142356948101112[[#This Row],[Shelter and housing options]]</f>
        <v>0</v>
      </c>
      <c r="G5" s="5">
        <v>600</v>
      </c>
      <c r="H5" s="5">
        <v>0</v>
      </c>
      <c r="I5" s="5">
        <v>0</v>
      </c>
      <c r="J5" s="5">
        <v>0</v>
      </c>
      <c r="K5" s="5">
        <v>0</v>
      </c>
      <c r="L5" s="89">
        <v>0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Table142356948101112[[#This Row],[Emergency NFI]]+Table142356948101112[[#This Row],[NFI Replenishment ]]+Table142356948101112[[#This Row],[NFI3]]</f>
        <v>0</v>
      </c>
      <c r="F6" s="5">
        <f>Table142356948101112[[#This Row],[Emergency Shelter]]+Table142356948101112[[#This Row],[Shelter Upgrade/Repair]]+Table142356948101112[[#This Row],[Shelter and housing options]]</f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89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Table142356948101112[[#This Row],[Emergency NFI]]+Table142356948101112[[#This Row],[NFI Replenishment ]]+Table142356948101112[[#This Row],[NFI3]]</f>
        <v>0</v>
      </c>
      <c r="F7" s="5">
        <f>Table142356948101112[[#This Row],[Emergency Shelter]]+Table142356948101112[[#This Row],[Shelter Upgrade/Repair]]+Table142356948101112[[#This Row],[Shelter and housing options]]</f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89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Table142356948101112[[#This Row],[Emergency NFI]]+Table142356948101112[[#This Row],[NFI Replenishment ]]+Table142356948101112[[#This Row],[NFI3]]</f>
        <v>216</v>
      </c>
      <c r="F8" s="5">
        <f>Table142356948101112[[#This Row],[Emergency Shelter]]+Table142356948101112[[#This Row],[Shelter Upgrade/Repair]]+Table142356948101112[[#This Row],[Shelter and housing options]]</f>
        <v>18</v>
      </c>
      <c r="G8" s="5">
        <v>216</v>
      </c>
      <c r="H8" s="5">
        <v>0</v>
      </c>
      <c r="I8" s="5">
        <v>0</v>
      </c>
      <c r="J8" s="5">
        <v>18</v>
      </c>
      <c r="K8" s="5">
        <v>0</v>
      </c>
      <c r="L8" s="89">
        <v>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Table142356948101112[[#This Row],[Emergency NFI]]+Table142356948101112[[#This Row],[NFI Replenishment ]]+Table142356948101112[[#This Row],[NFI3]]</f>
        <v>9396</v>
      </c>
      <c r="F9" s="5">
        <f>Table142356948101112[[#This Row],[Emergency Shelter]]+Table142356948101112[[#This Row],[Shelter Upgrade/Repair]]+Table142356948101112[[#This Row],[Shelter and housing options]]</f>
        <v>0</v>
      </c>
      <c r="G9" s="5">
        <v>798</v>
      </c>
      <c r="H9" s="5">
        <v>0</v>
      </c>
      <c r="I9" s="5">
        <v>8598</v>
      </c>
      <c r="J9" s="5">
        <v>0</v>
      </c>
      <c r="K9" s="5">
        <v>0</v>
      </c>
      <c r="L9" s="89">
        <v>0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Table142356948101112[[#This Row],[Emergency NFI]]+Table142356948101112[[#This Row],[NFI Replenishment ]]+Table142356948101112[[#This Row],[NFI3]]</f>
        <v>0</v>
      </c>
      <c r="F10" s="5">
        <f>Table142356948101112[[#This Row],[Emergency Shelter]]+Table142356948101112[[#This Row],[Shelter Upgrade/Repair]]+Table142356948101112[[#This Row],[Shelter and housing options]]</f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89">
        <v>0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Table142356948101112[[#This Row],[Emergency NFI]]+Table142356948101112[[#This Row],[NFI Replenishment ]]+Table142356948101112[[#This Row],[NFI3]]</f>
        <v>5706</v>
      </c>
      <c r="F11" s="5">
        <f>Table142356948101112[[#This Row],[Emergency Shelter]]+Table142356948101112[[#This Row],[Shelter Upgrade/Repair]]+Table142356948101112[[#This Row],[Shelter and housing options]]</f>
        <v>1602</v>
      </c>
      <c r="G11" s="5">
        <v>5706</v>
      </c>
      <c r="H11" s="5">
        <v>6</v>
      </c>
      <c r="I11" s="5">
        <v>0</v>
      </c>
      <c r="J11" s="5">
        <v>1596</v>
      </c>
      <c r="K11" s="5">
        <v>0</v>
      </c>
      <c r="L11" s="89">
        <v>0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Table142356948101112[[#This Row],[Emergency NFI]]+Table142356948101112[[#This Row],[NFI Replenishment ]]+Table142356948101112[[#This Row],[NFI3]]</f>
        <v>0</v>
      </c>
      <c r="F12" s="5">
        <f>Table142356948101112[[#This Row],[Emergency Shelter]]+Table142356948101112[[#This Row],[Shelter Upgrade/Repair]]+Table142356948101112[[#This Row],[Shelter and housing options]]</f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89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Table142356948101112[[#This Row],[Emergency NFI]]+Table142356948101112[[#This Row],[NFI Replenishment ]]+Table142356948101112[[#This Row],[NFI3]]</f>
        <v>0</v>
      </c>
      <c r="F13" s="5">
        <f>Table142356948101112[[#This Row],[Emergency Shelter]]+Table142356948101112[[#This Row],[Shelter Upgrade/Repair]]+Table142356948101112[[#This Row],[Shelter and housing options]]</f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89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Table142356948101112[[#This Row],[Emergency NFI]]+Table142356948101112[[#This Row],[NFI Replenishment ]]+Table142356948101112[[#This Row],[NFI3]]</f>
        <v>0</v>
      </c>
      <c r="F14" s="5">
        <f>Table142356948101112[[#This Row],[Emergency Shelter]]+Table142356948101112[[#This Row],[Shelter Upgrade/Repair]]+Table142356948101112[[#This Row],[Shelter and housing options]]</f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89">
        <v>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Table142356948101112[[#This Row],[Emergency NFI]]+Table142356948101112[[#This Row],[NFI Replenishment ]]+Table142356948101112[[#This Row],[NFI3]]</f>
        <v>244206</v>
      </c>
      <c r="F15" s="5">
        <f>Table142356948101112[[#This Row],[Emergency Shelter]]+Table142356948101112[[#This Row],[Shelter Upgrade/Repair]]+Table142356948101112[[#This Row],[Shelter and housing options]]</f>
        <v>98892</v>
      </c>
      <c r="G15" s="5">
        <v>244206</v>
      </c>
      <c r="H15" s="5">
        <v>97662</v>
      </c>
      <c r="I15" s="5">
        <v>0</v>
      </c>
      <c r="J15" s="5">
        <v>1230</v>
      </c>
      <c r="K15" s="5">
        <v>0</v>
      </c>
      <c r="L15" s="89">
        <v>0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Table142356948101112[[#This Row],[Emergency NFI]]+Table142356948101112[[#This Row],[NFI Replenishment ]]+Table142356948101112[[#This Row],[NFI3]]</f>
        <v>0</v>
      </c>
      <c r="F16" s="5">
        <f>Table142356948101112[[#This Row],[Emergency Shelter]]+Table142356948101112[[#This Row],[Shelter Upgrade/Repair]]+Table142356948101112[[#This Row],[Shelter and housing options]]</f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89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Table142356948101112[[#This Row],[Emergency NFI]]+Table142356948101112[[#This Row],[NFI Replenishment ]]+Table142356948101112[[#This Row],[NFI3]]</f>
        <v>10074</v>
      </c>
      <c r="F17" s="5">
        <f>Table142356948101112[[#This Row],[Emergency Shelter]]+Table142356948101112[[#This Row],[Shelter Upgrade/Repair]]+Table142356948101112[[#This Row],[Shelter and housing options]]</f>
        <v>9714</v>
      </c>
      <c r="G17" s="5">
        <v>10074</v>
      </c>
      <c r="H17" s="5">
        <v>6714</v>
      </c>
      <c r="I17" s="5">
        <v>0</v>
      </c>
      <c r="J17" s="5">
        <v>3000</v>
      </c>
      <c r="K17" s="5">
        <v>0</v>
      </c>
      <c r="L17" s="89">
        <v>0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Table142356948101112[[#This Row],[Emergency NFI]]+Table142356948101112[[#This Row],[NFI Replenishment ]]+Table142356948101112[[#This Row],[NFI3]]</f>
        <v>12</v>
      </c>
      <c r="F18" s="5">
        <f>Table142356948101112[[#This Row],[Emergency Shelter]]+Table142356948101112[[#This Row],[Shelter Upgrade/Repair]]+Table142356948101112[[#This Row],[Shelter and housing options]]</f>
        <v>36</v>
      </c>
      <c r="G18" s="5">
        <v>12</v>
      </c>
      <c r="H18" s="5">
        <v>0</v>
      </c>
      <c r="I18" s="5">
        <v>0</v>
      </c>
      <c r="J18" s="5">
        <v>36</v>
      </c>
      <c r="K18" s="5">
        <v>0</v>
      </c>
      <c r="L18" s="89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Table142356948101112[[#This Row],[Emergency NFI]]+Table142356948101112[[#This Row],[NFI Replenishment ]]+Table142356948101112[[#This Row],[NFI3]]</f>
        <v>0</v>
      </c>
      <c r="F19" s="5">
        <f>Table142356948101112[[#This Row],[Emergency Shelter]]+Table142356948101112[[#This Row],[Shelter Upgrade/Repair]]+Table142356948101112[[#This Row],[Shelter and housing options]]</f>
        <v>0</v>
      </c>
      <c r="G19" s="5"/>
      <c r="H19" s="5">
        <v>0</v>
      </c>
      <c r="I19" s="5">
        <v>0</v>
      </c>
      <c r="J19" s="5">
        <v>0</v>
      </c>
      <c r="K19" s="5">
        <v>0</v>
      </c>
      <c r="L19" s="89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Table142356948101112[[#This Row],[Emergency NFI]]+Table142356948101112[[#This Row],[NFI Replenishment ]]+Table142356948101112[[#This Row],[NFI3]]</f>
        <v>0</v>
      </c>
      <c r="F20" s="5">
        <f>Table142356948101112[[#This Row],[Emergency Shelter]]+Table142356948101112[[#This Row],[Shelter Upgrade/Repair]]+Table142356948101112[[#This Row],[Shelter and housing options]]</f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89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270210</v>
      </c>
      <c r="F21" s="9">
        <f>Table142356948101112[[#This Row],[Emergency Shelter]]+Table142356948101112[[#This Row],[Shelter Upgrade/Repair]]+Table142356948101112[[#This Row],[Shelter and housing options]]</f>
        <v>112338</v>
      </c>
      <c r="G21" s="9">
        <f>SUBTOTAL(109,G3:G20)</f>
        <v>261612</v>
      </c>
      <c r="H21" s="9">
        <f>SUBTOTAL(109,H3:H20)</f>
        <v>106440</v>
      </c>
      <c r="I21" s="9">
        <f t="shared" ref="I21:K21" si="0">SUBTOTAL(109,I3:I20)</f>
        <v>8598</v>
      </c>
      <c r="J21" s="9">
        <f t="shared" ref="J21" si="1">SUBTOTAL(109,J3:J20)</f>
        <v>5898</v>
      </c>
      <c r="K21" s="9">
        <f t="shared" si="0"/>
        <v>0</v>
      </c>
      <c r="L21" s="9">
        <f t="shared" ref="L21" si="2">SUBTOTAL(109,L3:L20)</f>
        <v>0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K22" si="3">D21/6</f>
        <v>387723.49999999994</v>
      </c>
      <c r="E22" s="11">
        <f t="shared" si="3"/>
        <v>45035</v>
      </c>
      <c r="F22" s="11">
        <f>Table142356948101112[[#This Row],[Emergency Shelter]]+Table142356948101112[[#This Row],[Shelter Upgrade/Repair]]+Table142356948101112[[#This Row],[Shelter and housing options]]</f>
        <v>18723</v>
      </c>
      <c r="G22" s="11">
        <f t="shared" si="3"/>
        <v>43602</v>
      </c>
      <c r="H22" s="11">
        <f t="shared" ref="H22" si="4">H21/6</f>
        <v>17740</v>
      </c>
      <c r="I22" s="11">
        <f t="shared" si="3"/>
        <v>1433</v>
      </c>
      <c r="J22" s="11">
        <f t="shared" ref="J22" si="5">J21/6</f>
        <v>983</v>
      </c>
      <c r="K22" s="11">
        <f t="shared" si="3"/>
        <v>0</v>
      </c>
      <c r="L22" s="11">
        <f t="shared" ref="L22" si="6">L21/6</f>
        <v>0</v>
      </c>
    </row>
    <row r="23" spans="1:12" x14ac:dyDescent="0.25">
      <c r="A23" s="99"/>
      <c r="B23" s="100"/>
      <c r="C23" s="101"/>
      <c r="D23" s="101"/>
      <c r="E23" s="96">
        <f>E21/D21</f>
        <v>0.1161523611542762</v>
      </c>
      <c r="F23" s="96">
        <f>F21/D21</f>
        <v>4.8289567178672436E-2</v>
      </c>
      <c r="G23" s="102"/>
      <c r="H23" s="101"/>
      <c r="I23" s="102"/>
      <c r="J23" s="101"/>
      <c r="K23" s="102"/>
      <c r="L23" s="10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7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7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8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9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9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9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9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9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9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9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9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9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9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9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9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9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9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9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9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9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10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11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A24" sqref="A24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06">
        <v>42856</v>
      </c>
      <c r="B1" s="93"/>
      <c r="C1" s="93"/>
      <c r="D1" s="93"/>
      <c r="E1" s="157" t="s">
        <v>132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Table14235694810111213[[#This Row],[Emergency NFI]]+Table14235694810111213[[#This Row],[NFI Replenishment ]]+Table14235694810111213[[#This Row],[NFI3]]</f>
        <v>1848</v>
      </c>
      <c r="F3" s="91">
        <f>Table14235694810111213[[#This Row],[Emergency Shelter]]+Table14235694810111213[[#This Row],[Shelter Upgrade/Repair]]+Table14235694810111213[[#This Row],[Shelter and housing options]]</f>
        <v>642</v>
      </c>
      <c r="G3" s="91">
        <v>1848</v>
      </c>
      <c r="H3" s="91">
        <v>480</v>
      </c>
      <c r="I3" s="91">
        <v>0</v>
      </c>
      <c r="J3" s="91">
        <v>6</v>
      </c>
      <c r="K3" s="91">
        <v>0</v>
      </c>
      <c r="L3" s="90">
        <f>26*6</f>
        <v>156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Table14235694810111213[[#This Row],[Emergency NFI]]+Table14235694810111213[[#This Row],[NFI Replenishment ]]+Table14235694810111213[[#This Row],[NFI3]]</f>
        <v>0</v>
      </c>
      <c r="F4" s="5">
        <f>Table14235694810111213[[#This Row],[Emergency Shelter]]+Table14235694810111213[[#This Row],[Shelter Upgrade/Repair]]+Table14235694810111213[[#This Row],[Shelter and housing options]]</f>
        <v>210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89">
        <f>35*6</f>
        <v>210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Table14235694810111213[[#This Row],[Emergency NFI]]+Table14235694810111213[[#This Row],[NFI Replenishment ]]+Table14235694810111213[[#This Row],[NFI3]]</f>
        <v>0</v>
      </c>
      <c r="F5" s="5">
        <f>Table14235694810111213[[#This Row],[Emergency Shelter]]+Table14235694810111213[[#This Row],[Shelter Upgrade/Repair]]+Table14235694810111213[[#This Row],[Shelter and housing options]]</f>
        <v>1416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89">
        <f>236*6</f>
        <v>1416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Table14235694810111213[[#This Row],[Emergency NFI]]+Table14235694810111213[[#This Row],[NFI Replenishment ]]+Table14235694810111213[[#This Row],[NFI3]]</f>
        <v>420</v>
      </c>
      <c r="F6" s="5">
        <f>Table14235694810111213[[#This Row],[Emergency Shelter]]+Table14235694810111213[[#This Row],[Shelter Upgrade/Repair]]+Table14235694810111213[[#This Row],[Shelter and housing options]]</f>
        <v>0</v>
      </c>
      <c r="G6" s="5">
        <v>420</v>
      </c>
      <c r="H6" s="5">
        <v>0</v>
      </c>
      <c r="I6" s="5">
        <v>0</v>
      </c>
      <c r="J6" s="5">
        <v>0</v>
      </c>
      <c r="K6" s="5">
        <v>0</v>
      </c>
      <c r="L6" s="89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Table14235694810111213[[#This Row],[Emergency NFI]]+Table14235694810111213[[#This Row],[NFI Replenishment ]]+Table14235694810111213[[#This Row],[NFI3]]</f>
        <v>0</v>
      </c>
      <c r="F7" s="5">
        <f>Table14235694810111213[[#This Row],[Emergency Shelter]]+Table14235694810111213[[#This Row],[Shelter Upgrade/Repair]]+Table14235694810111213[[#This Row],[Shelter and housing options]]</f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89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Table14235694810111213[[#This Row],[Emergency NFI]]+Table14235694810111213[[#This Row],[NFI Replenishment ]]+Table14235694810111213[[#This Row],[NFI3]]</f>
        <v>282</v>
      </c>
      <c r="F8" s="5">
        <f>Table14235694810111213[[#This Row],[Emergency Shelter]]+Table14235694810111213[[#This Row],[Shelter Upgrade/Repair]]+Table14235694810111213[[#This Row],[Shelter and housing options]]</f>
        <v>3078</v>
      </c>
      <c r="G8" s="5">
        <v>282</v>
      </c>
      <c r="H8" s="5">
        <v>0</v>
      </c>
      <c r="I8" s="5">
        <v>0</v>
      </c>
      <c r="J8" s="5">
        <v>3078</v>
      </c>
      <c r="K8" s="5">
        <v>0</v>
      </c>
      <c r="L8" s="89">
        <v>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Table14235694810111213[[#This Row],[Emergency NFI]]+Table14235694810111213[[#This Row],[NFI Replenishment ]]+Table14235694810111213[[#This Row],[NFI3]]</f>
        <v>3282</v>
      </c>
      <c r="F9" s="5">
        <f>Table14235694810111213[[#This Row],[Emergency Shelter]]+Table14235694810111213[[#This Row],[Shelter Upgrade/Repair]]+Table14235694810111213[[#This Row],[Shelter and housing options]]</f>
        <v>840</v>
      </c>
      <c r="G9" s="5">
        <v>0</v>
      </c>
      <c r="H9" s="5">
        <v>0</v>
      </c>
      <c r="I9" s="5">
        <v>3282</v>
      </c>
      <c r="J9" s="5">
        <v>0</v>
      </c>
      <c r="K9" s="5">
        <v>0</v>
      </c>
      <c r="L9" s="89">
        <f>140*6</f>
        <v>840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Table14235694810111213[[#This Row],[Emergency NFI]]+Table14235694810111213[[#This Row],[NFI Replenishment ]]+Table14235694810111213[[#This Row],[NFI3]]</f>
        <v>0</v>
      </c>
      <c r="F10" s="5">
        <f>Table14235694810111213[[#This Row],[Emergency Shelter]]+Table14235694810111213[[#This Row],[Shelter Upgrade/Repair]]+Table14235694810111213[[#This Row],[Shelter and housing options]]</f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89">
        <v>0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Table14235694810111213[[#This Row],[Emergency NFI]]+Table14235694810111213[[#This Row],[NFI Replenishment ]]+Table14235694810111213[[#This Row],[NFI3]]</f>
        <v>4950</v>
      </c>
      <c r="F11" s="5">
        <f>Table14235694810111213[[#This Row],[Emergency Shelter]]+Table14235694810111213[[#This Row],[Shelter Upgrade/Repair]]+Table14235694810111213[[#This Row],[Shelter and housing options]]</f>
        <v>3114</v>
      </c>
      <c r="G11" s="5">
        <v>4950</v>
      </c>
      <c r="H11" s="5">
        <v>576</v>
      </c>
      <c r="I11" s="5">
        <v>0</v>
      </c>
      <c r="J11" s="5">
        <v>2538</v>
      </c>
      <c r="K11" s="5">
        <v>0</v>
      </c>
      <c r="L11" s="89">
        <v>0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Table14235694810111213[[#This Row],[Emergency NFI]]+Table14235694810111213[[#This Row],[NFI Replenishment ]]+Table14235694810111213[[#This Row],[NFI3]]</f>
        <v>0</v>
      </c>
      <c r="F12" s="5">
        <f>Table14235694810111213[[#This Row],[Emergency Shelter]]+Table14235694810111213[[#This Row],[Shelter Upgrade/Repair]]+Table14235694810111213[[#This Row],[Shelter and housing options]]</f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89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Table14235694810111213[[#This Row],[Emergency NFI]]+Table14235694810111213[[#This Row],[NFI Replenishment ]]+Table14235694810111213[[#This Row],[NFI3]]</f>
        <v>0</v>
      </c>
      <c r="F13" s="5">
        <f>Table14235694810111213[[#This Row],[Emergency Shelter]]+Table14235694810111213[[#This Row],[Shelter Upgrade/Repair]]+Table14235694810111213[[#This Row],[Shelter and housing options]]</f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89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Table14235694810111213[[#This Row],[Emergency NFI]]+Table14235694810111213[[#This Row],[NFI Replenishment ]]+Table14235694810111213[[#This Row],[NFI3]]</f>
        <v>0</v>
      </c>
      <c r="F14" s="5">
        <f>Table14235694810111213[[#This Row],[Emergency Shelter]]+Table14235694810111213[[#This Row],[Shelter Upgrade/Repair]]+Table14235694810111213[[#This Row],[Shelter and housing options]]</f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89">
        <v>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Table14235694810111213[[#This Row],[Emergency NFI]]+Table14235694810111213[[#This Row],[NFI Replenishment ]]+Table14235694810111213[[#This Row],[NFI3]]</f>
        <v>99150</v>
      </c>
      <c r="F15" s="5">
        <f>Table14235694810111213[[#This Row],[Emergency Shelter]]+Table14235694810111213[[#This Row],[Shelter Upgrade/Repair]]+Table14235694810111213[[#This Row],[Shelter and housing options]]</f>
        <v>32742</v>
      </c>
      <c r="G15" s="5">
        <v>99150</v>
      </c>
      <c r="H15" s="5">
        <v>27042</v>
      </c>
      <c r="I15" s="5">
        <v>0</v>
      </c>
      <c r="J15" s="5">
        <v>5700</v>
      </c>
      <c r="K15" s="5">
        <v>0</v>
      </c>
      <c r="L15" s="89">
        <v>0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Table14235694810111213[[#This Row],[Emergency NFI]]+Table14235694810111213[[#This Row],[NFI Replenishment ]]+Table14235694810111213[[#This Row],[NFI3]]</f>
        <v>240</v>
      </c>
      <c r="F16" s="5">
        <f>Table14235694810111213[[#This Row],[Emergency Shelter]]+Table14235694810111213[[#This Row],[Shelter Upgrade/Repair]]+Table14235694810111213[[#This Row],[Shelter and housing options]]</f>
        <v>0</v>
      </c>
      <c r="G16" s="5">
        <v>240</v>
      </c>
      <c r="H16" s="5">
        <v>0</v>
      </c>
      <c r="I16" s="5">
        <v>0</v>
      </c>
      <c r="J16" s="5">
        <v>0</v>
      </c>
      <c r="K16" s="5">
        <v>0</v>
      </c>
      <c r="L16" s="89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Table14235694810111213[[#This Row],[Emergency NFI]]+Table14235694810111213[[#This Row],[NFI Replenishment ]]+Table14235694810111213[[#This Row],[NFI3]]</f>
        <v>10944</v>
      </c>
      <c r="F17" s="5">
        <f>Table14235694810111213[[#This Row],[Emergency Shelter]]+Table14235694810111213[[#This Row],[Shelter Upgrade/Repair]]+Table14235694810111213[[#This Row],[Shelter and housing options]]</f>
        <v>2892</v>
      </c>
      <c r="G17" s="5">
        <v>10944</v>
      </c>
      <c r="H17" s="5">
        <v>960</v>
      </c>
      <c r="I17" s="5">
        <v>0</v>
      </c>
      <c r="J17" s="5">
        <v>1230</v>
      </c>
      <c r="K17" s="5">
        <v>0</v>
      </c>
      <c r="L17" s="89">
        <f>117*6</f>
        <v>702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Table14235694810111213[[#This Row],[Emergency NFI]]+Table14235694810111213[[#This Row],[NFI Replenishment ]]+Table14235694810111213[[#This Row],[NFI3]]</f>
        <v>108</v>
      </c>
      <c r="F18" s="5">
        <f>Table14235694810111213[[#This Row],[Emergency Shelter]]+Table14235694810111213[[#This Row],[Shelter Upgrade/Repair]]+Table14235694810111213[[#This Row],[Shelter and housing options]]</f>
        <v>2178</v>
      </c>
      <c r="G18" s="5">
        <v>108</v>
      </c>
      <c r="H18" s="5">
        <v>6</v>
      </c>
      <c r="I18" s="5">
        <v>0</v>
      </c>
      <c r="J18" s="5">
        <v>2172</v>
      </c>
      <c r="K18" s="5">
        <v>0</v>
      </c>
      <c r="L18" s="89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Table14235694810111213[[#This Row],[Emergency NFI]]+Table14235694810111213[[#This Row],[NFI Replenishment ]]+Table14235694810111213[[#This Row],[NFI3]]</f>
        <v>180</v>
      </c>
      <c r="F19" s="5">
        <f>Table14235694810111213[[#This Row],[Emergency Shelter]]+Table14235694810111213[[#This Row],[Shelter Upgrade/Repair]]+Table14235694810111213[[#This Row],[Shelter and housing options]]</f>
        <v>0</v>
      </c>
      <c r="G19" s="5">
        <v>180</v>
      </c>
      <c r="H19" s="5">
        <v>0</v>
      </c>
      <c r="I19" s="5">
        <v>0</v>
      </c>
      <c r="J19" s="5">
        <v>0</v>
      </c>
      <c r="K19" s="5">
        <v>0</v>
      </c>
      <c r="L19" s="89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Table14235694810111213[[#This Row],[Emergency NFI]]+Table14235694810111213[[#This Row],[NFI Replenishment ]]+Table14235694810111213[[#This Row],[NFI3]]</f>
        <v>0</v>
      </c>
      <c r="F20" s="5">
        <f>Table14235694810111213[[#This Row],[Emergency Shelter]]+Table14235694810111213[[#This Row],[Shelter Upgrade/Repair]]+Table14235694810111213[[#This Row],[Shelter and housing options]]</f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89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121404</v>
      </c>
      <c r="F21" s="9">
        <f>Table14235694810111213[[#This Row],[Emergency Shelter]]+Table14235694810111213[[#This Row],[Shelter Upgrade/Repair]]+Table14235694810111213[[#This Row],[Shelter and housing options]]</f>
        <v>47112</v>
      </c>
      <c r="G21" s="9">
        <f>SUBTOTAL(109,G3:G20)</f>
        <v>118122</v>
      </c>
      <c r="H21" s="9">
        <f>SUBTOTAL(109,H3:H20)</f>
        <v>29064</v>
      </c>
      <c r="I21" s="9">
        <f t="shared" ref="I21:K21" si="0">SUBTOTAL(109,I3:I20)</f>
        <v>3282</v>
      </c>
      <c r="J21" s="9">
        <f t="shared" ref="J21" si="1">SUBTOTAL(109,J3:J20)</f>
        <v>14724</v>
      </c>
      <c r="K21" s="9">
        <f t="shared" si="0"/>
        <v>0</v>
      </c>
      <c r="L21" s="9">
        <f t="shared" ref="L21" si="2">SUBTOTAL(109,L3:L20)</f>
        <v>3324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K22" si="3">D21/6</f>
        <v>387723.49999999994</v>
      </c>
      <c r="E22" s="11">
        <f t="shared" si="3"/>
        <v>20234</v>
      </c>
      <c r="F22" s="11">
        <f>Table14235694810111213[[#This Row],[Emergency Shelter]]+Table14235694810111213[[#This Row],[Shelter Upgrade/Repair]]+Table14235694810111213[[#This Row],[Shelter and housing options]]</f>
        <v>7852</v>
      </c>
      <c r="G22" s="11">
        <f t="shared" si="3"/>
        <v>19687</v>
      </c>
      <c r="H22" s="11">
        <f t="shared" ref="H22" si="4">H21/6</f>
        <v>4844</v>
      </c>
      <c r="I22" s="11">
        <f t="shared" si="3"/>
        <v>547</v>
      </c>
      <c r="J22" s="11">
        <f t="shared" ref="J22" si="5">J21/6</f>
        <v>2454</v>
      </c>
      <c r="K22" s="11">
        <f t="shared" si="3"/>
        <v>0</v>
      </c>
      <c r="L22" s="11">
        <f t="shared" ref="L22" si="6">L21/6</f>
        <v>554</v>
      </c>
    </row>
    <row r="23" spans="1:12" x14ac:dyDescent="0.25">
      <c r="A23" s="99"/>
      <c r="B23" s="100"/>
      <c r="C23" s="101"/>
      <c r="D23" s="101"/>
      <c r="E23" s="96">
        <f>E21/D21</f>
        <v>5.2186674266584319E-2</v>
      </c>
      <c r="F23" s="96">
        <f>F21/D21</f>
        <v>2.0251545237778987E-2</v>
      </c>
      <c r="G23" s="102"/>
      <c r="H23" s="101"/>
      <c r="I23" s="102"/>
      <c r="J23" s="101"/>
      <c r="K23" s="102"/>
      <c r="L23" s="10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7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7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8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9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9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9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9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9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9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9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9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9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9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9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9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9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9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9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9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9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10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11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A24" sqref="A24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06">
        <v>42887</v>
      </c>
      <c r="B1" s="93"/>
      <c r="C1" s="93"/>
      <c r="D1" s="93"/>
      <c r="E1" s="157" t="s">
        <v>133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Table1423569481011121314[[#This Row],[Emergency NFI]]+Table1423569481011121314[[#This Row],[NFI Replenishment ]]+Table1423569481011121314[[#This Row],[NFI3]]</f>
        <v>18126</v>
      </c>
      <c r="F3" s="91">
        <f>Table1423569481011121314[[#This Row],[Emergency Shelter]]+Table1423569481011121314[[#This Row],[Shelter Upgrade/Repair]]+Table1423569481011121314[[#This Row],[Shelter and housing options]]</f>
        <v>0</v>
      </c>
      <c r="G3" s="91">
        <v>18126</v>
      </c>
      <c r="H3" s="91">
        <v>0</v>
      </c>
      <c r="I3" s="91">
        <v>0</v>
      </c>
      <c r="J3" s="91">
        <v>0</v>
      </c>
      <c r="K3" s="91">
        <v>0</v>
      </c>
      <c r="L3" s="90">
        <v>0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Table1423569481011121314[[#This Row],[Emergency NFI]]+Table1423569481011121314[[#This Row],[NFI Replenishment ]]+Table1423569481011121314[[#This Row],[NFI3]]</f>
        <v>0</v>
      </c>
      <c r="F4" s="5">
        <f>Table1423569481011121314[[#This Row],[Emergency Shelter]]+Table1423569481011121314[[#This Row],[Shelter Upgrade/Repair]]+Table1423569481011121314[[#This Row],[Shelter and housing options]]</f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89">
        <v>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Table1423569481011121314[[#This Row],[Emergency NFI]]+Table1423569481011121314[[#This Row],[NFI Replenishment ]]+Table1423569481011121314[[#This Row],[NFI3]]</f>
        <v>168</v>
      </c>
      <c r="F5" s="5">
        <f>Table1423569481011121314[[#This Row],[Emergency Shelter]]+Table1423569481011121314[[#This Row],[Shelter Upgrade/Repair]]+Table1423569481011121314[[#This Row],[Shelter and housing options]]</f>
        <v>1044</v>
      </c>
      <c r="G5" s="5">
        <v>168</v>
      </c>
      <c r="H5" s="5">
        <v>702</v>
      </c>
      <c r="I5" s="5">
        <v>0</v>
      </c>
      <c r="J5" s="5">
        <v>0</v>
      </c>
      <c r="K5" s="5">
        <v>0</v>
      </c>
      <c r="L5" s="89">
        <f>57*6</f>
        <v>342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Table1423569481011121314[[#This Row],[Emergency NFI]]+Table1423569481011121314[[#This Row],[NFI Replenishment ]]+Table1423569481011121314[[#This Row],[NFI3]]</f>
        <v>0</v>
      </c>
      <c r="F6" s="5">
        <f>Table1423569481011121314[[#This Row],[Emergency Shelter]]+Table1423569481011121314[[#This Row],[Shelter Upgrade/Repair]]+Table1423569481011121314[[#This Row],[Shelter and housing options]]</f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89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Table1423569481011121314[[#This Row],[Emergency NFI]]+Table1423569481011121314[[#This Row],[NFI Replenishment ]]+Table1423569481011121314[[#This Row],[NFI3]]</f>
        <v>0</v>
      </c>
      <c r="F7" s="5">
        <f>Table1423569481011121314[[#This Row],[Emergency Shelter]]+Table1423569481011121314[[#This Row],[Shelter Upgrade/Repair]]+Table1423569481011121314[[#This Row],[Shelter and housing options]]</f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89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Table1423569481011121314[[#This Row],[Emergency NFI]]+Table1423569481011121314[[#This Row],[NFI Replenishment ]]+Table1423569481011121314[[#This Row],[NFI3]]</f>
        <v>36</v>
      </c>
      <c r="F8" s="5">
        <f>Table1423569481011121314[[#This Row],[Emergency Shelter]]+Table1423569481011121314[[#This Row],[Shelter Upgrade/Repair]]+Table1423569481011121314[[#This Row],[Shelter and housing options]]</f>
        <v>6</v>
      </c>
      <c r="G8" s="5">
        <v>36</v>
      </c>
      <c r="H8" s="5">
        <v>0</v>
      </c>
      <c r="I8" s="5">
        <v>0</v>
      </c>
      <c r="J8" s="5">
        <v>6</v>
      </c>
      <c r="K8" s="5">
        <v>0</v>
      </c>
      <c r="L8" s="89">
        <v>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Table1423569481011121314[[#This Row],[Emergency NFI]]+Table1423569481011121314[[#This Row],[NFI Replenishment ]]+Table1423569481011121314[[#This Row],[NFI3]]</f>
        <v>2346</v>
      </c>
      <c r="F9" s="5">
        <f>Table1423569481011121314[[#This Row],[Emergency Shelter]]+Table1423569481011121314[[#This Row],[Shelter Upgrade/Repair]]+Table1423569481011121314[[#This Row],[Shelter and housing options]]</f>
        <v>2148</v>
      </c>
      <c r="G9" s="5">
        <v>0</v>
      </c>
      <c r="H9" s="5">
        <v>0</v>
      </c>
      <c r="I9" s="5">
        <v>2346</v>
      </c>
      <c r="J9" s="5">
        <v>1890</v>
      </c>
      <c r="K9" s="5">
        <v>0</v>
      </c>
      <c r="L9" s="89">
        <f>43*6</f>
        <v>258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Table1423569481011121314[[#This Row],[Emergency NFI]]+Table1423569481011121314[[#This Row],[NFI Replenishment ]]+Table1423569481011121314[[#This Row],[NFI3]]</f>
        <v>0</v>
      </c>
      <c r="F10" s="5">
        <f>Table1423569481011121314[[#This Row],[Emergency Shelter]]+Table1423569481011121314[[#This Row],[Shelter Upgrade/Repair]]+Table1423569481011121314[[#This Row],[Shelter and housing options]]</f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89">
        <v>0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Table1423569481011121314[[#This Row],[Emergency NFI]]+Table1423569481011121314[[#This Row],[NFI Replenishment ]]+Table1423569481011121314[[#This Row],[NFI3]]</f>
        <v>30</v>
      </c>
      <c r="F11" s="5">
        <f>Table1423569481011121314[[#This Row],[Emergency Shelter]]+Table1423569481011121314[[#This Row],[Shelter Upgrade/Repair]]+Table1423569481011121314[[#This Row],[Shelter and housing options]]</f>
        <v>0</v>
      </c>
      <c r="G11" s="5">
        <v>30</v>
      </c>
      <c r="H11" s="5">
        <v>0</v>
      </c>
      <c r="I11" s="5">
        <v>0</v>
      </c>
      <c r="J11" s="5">
        <v>0</v>
      </c>
      <c r="K11" s="5">
        <v>0</v>
      </c>
      <c r="L11" s="89">
        <v>0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Table1423569481011121314[[#This Row],[Emergency NFI]]+Table1423569481011121314[[#This Row],[NFI Replenishment ]]+Table1423569481011121314[[#This Row],[NFI3]]</f>
        <v>0</v>
      </c>
      <c r="F12" s="5">
        <f>Table1423569481011121314[[#This Row],[Emergency Shelter]]+Table1423569481011121314[[#This Row],[Shelter Upgrade/Repair]]+Table1423569481011121314[[#This Row],[Shelter and housing options]]</f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89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Table1423569481011121314[[#This Row],[Emergency NFI]]+Table1423569481011121314[[#This Row],[NFI Replenishment ]]+Table1423569481011121314[[#This Row],[NFI3]]</f>
        <v>0</v>
      </c>
      <c r="F13" s="5">
        <f>Table1423569481011121314[[#This Row],[Emergency Shelter]]+Table1423569481011121314[[#This Row],[Shelter Upgrade/Repair]]+Table1423569481011121314[[#This Row],[Shelter and housing options]]</f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89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Table1423569481011121314[[#This Row],[Emergency NFI]]+Table1423569481011121314[[#This Row],[NFI Replenishment ]]+Table1423569481011121314[[#This Row],[NFI3]]</f>
        <v>0</v>
      </c>
      <c r="F14" s="5">
        <f>Table1423569481011121314[[#This Row],[Emergency Shelter]]+Table1423569481011121314[[#This Row],[Shelter Upgrade/Repair]]+Table1423569481011121314[[#This Row],[Shelter and housing options]]</f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89">
        <v>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Table1423569481011121314[[#This Row],[Emergency NFI]]+Table1423569481011121314[[#This Row],[NFI Replenishment ]]+Table1423569481011121314[[#This Row],[NFI3]]</f>
        <v>62784</v>
      </c>
      <c r="F15" s="5">
        <f>Table1423569481011121314[[#This Row],[Emergency Shelter]]+Table1423569481011121314[[#This Row],[Shelter Upgrade/Repair]]+Table1423569481011121314[[#This Row],[Shelter and housing options]]</f>
        <v>11964</v>
      </c>
      <c r="G15" s="5">
        <v>62784</v>
      </c>
      <c r="H15" s="5">
        <v>3564</v>
      </c>
      <c r="I15" s="5">
        <v>0</v>
      </c>
      <c r="J15" s="5">
        <v>5400</v>
      </c>
      <c r="K15" s="5">
        <v>0</v>
      </c>
      <c r="L15" s="89">
        <f>500*6</f>
        <v>3000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Table1423569481011121314[[#This Row],[Emergency NFI]]+Table1423569481011121314[[#This Row],[NFI Replenishment ]]+Table1423569481011121314[[#This Row],[NFI3]]</f>
        <v>0</v>
      </c>
      <c r="F16" s="5">
        <f>Table1423569481011121314[[#This Row],[Emergency Shelter]]+Table1423569481011121314[[#This Row],[Shelter Upgrade/Repair]]+Table1423569481011121314[[#This Row],[Shelter and housing options]]</f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89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Table1423569481011121314[[#This Row],[Emergency NFI]]+Table1423569481011121314[[#This Row],[NFI Replenishment ]]+Table1423569481011121314[[#This Row],[NFI3]]</f>
        <v>6414</v>
      </c>
      <c r="F17" s="5">
        <f>Table1423569481011121314[[#This Row],[Emergency Shelter]]+Table1423569481011121314[[#This Row],[Shelter Upgrade/Repair]]+Table1423569481011121314[[#This Row],[Shelter and housing options]]</f>
        <v>6000</v>
      </c>
      <c r="G17" s="5">
        <v>6414</v>
      </c>
      <c r="H17" s="5">
        <v>6000</v>
      </c>
      <c r="I17" s="5">
        <v>0</v>
      </c>
      <c r="J17" s="5">
        <v>0</v>
      </c>
      <c r="K17" s="5">
        <v>0</v>
      </c>
      <c r="L17" s="89">
        <v>0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Table1423569481011121314[[#This Row],[Emergency NFI]]+Table1423569481011121314[[#This Row],[NFI Replenishment ]]+Table1423569481011121314[[#This Row],[NFI3]]</f>
        <v>960</v>
      </c>
      <c r="F18" s="5">
        <f>Table1423569481011121314[[#This Row],[Emergency Shelter]]+Table1423569481011121314[[#This Row],[Shelter Upgrade/Repair]]+Table1423569481011121314[[#This Row],[Shelter and housing options]]</f>
        <v>4170</v>
      </c>
      <c r="G18" s="5">
        <v>960</v>
      </c>
      <c r="H18" s="5">
        <v>30</v>
      </c>
      <c r="I18" s="5">
        <v>0</v>
      </c>
      <c r="J18" s="5">
        <v>4140</v>
      </c>
      <c r="K18" s="5">
        <v>0</v>
      </c>
      <c r="L18" s="89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Table1423569481011121314[[#This Row],[Emergency NFI]]+Table1423569481011121314[[#This Row],[NFI Replenishment ]]+Table1423569481011121314[[#This Row],[NFI3]]</f>
        <v>0</v>
      </c>
      <c r="F19" s="5">
        <f>Table1423569481011121314[[#This Row],[Emergency Shelter]]+Table1423569481011121314[[#This Row],[Shelter Upgrade/Repair]]+Table1423569481011121314[[#This Row],[Shelter and housing options]]</f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89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Table1423569481011121314[[#This Row],[Emergency NFI]]+Table1423569481011121314[[#This Row],[NFI Replenishment ]]+Table1423569481011121314[[#This Row],[NFI3]]</f>
        <v>0</v>
      </c>
      <c r="F20" s="5">
        <f>Table1423569481011121314[[#This Row],[Emergency Shelter]]+Table1423569481011121314[[#This Row],[Shelter Upgrade/Repair]]+Table1423569481011121314[[#This Row],[Shelter and housing options]]</f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89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90864</v>
      </c>
      <c r="F21" s="9">
        <f>Table1423569481011121314[[#This Row],[Emergency Shelter]]+Table1423569481011121314[[#This Row],[Shelter Upgrade/Repair]]+Table1423569481011121314[[#This Row],[Shelter and housing options]]</f>
        <v>25332</v>
      </c>
      <c r="G21" s="9">
        <f>SUBTOTAL(109,G3:G20)</f>
        <v>88518</v>
      </c>
      <c r="H21" s="9">
        <f>SUBTOTAL(109,H3:H20)</f>
        <v>10296</v>
      </c>
      <c r="I21" s="9">
        <f t="shared" ref="I21:K21" si="0">SUBTOTAL(109,I3:I20)</f>
        <v>2346</v>
      </c>
      <c r="J21" s="9">
        <f t="shared" ref="J21" si="1">SUBTOTAL(109,J3:J20)</f>
        <v>11436</v>
      </c>
      <c r="K21" s="9">
        <f t="shared" si="0"/>
        <v>0</v>
      </c>
      <c r="L21" s="9">
        <f t="shared" ref="L21" si="2">SUBTOTAL(109,L3:L20)</f>
        <v>3600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K22" si="3">D21/6</f>
        <v>387723.49999999994</v>
      </c>
      <c r="E22" s="11">
        <f t="shared" si="3"/>
        <v>15144</v>
      </c>
      <c r="F22" s="11">
        <f>Table1423569481011121314[[#This Row],[Emergency Shelter]]+Table1423569481011121314[[#This Row],[Shelter Upgrade/Repair]]+Table1423569481011121314[[#This Row],[Shelter and housing options]]</f>
        <v>4222</v>
      </c>
      <c r="G22" s="11">
        <f t="shared" si="3"/>
        <v>14753</v>
      </c>
      <c r="H22" s="11">
        <f t="shared" ref="H22" si="4">H21/6</f>
        <v>1716</v>
      </c>
      <c r="I22" s="11">
        <f t="shared" si="3"/>
        <v>391</v>
      </c>
      <c r="J22" s="11">
        <f t="shared" ref="J22" si="5">J21/6</f>
        <v>1906</v>
      </c>
      <c r="K22" s="11">
        <f t="shared" si="3"/>
        <v>0</v>
      </c>
      <c r="L22" s="11">
        <f t="shared" ref="L22" si="6">L21/6</f>
        <v>600</v>
      </c>
    </row>
    <row r="23" spans="1:12" x14ac:dyDescent="0.25">
      <c r="A23" s="99"/>
      <c r="B23" s="100"/>
      <c r="C23" s="101"/>
      <c r="D23" s="101"/>
      <c r="E23" s="96">
        <f>E21/D21</f>
        <v>3.9058762236490706E-2</v>
      </c>
      <c r="F23" s="96">
        <f>F21/D21</f>
        <v>1.0889203259539338E-2</v>
      </c>
      <c r="G23" s="102"/>
      <c r="H23" s="101"/>
      <c r="I23" s="102"/>
      <c r="J23" s="101"/>
      <c r="K23" s="102"/>
      <c r="L23" s="10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7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7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8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9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9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9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9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9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9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9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9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9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9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9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9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9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9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9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9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9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10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11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A24" sqref="A24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06">
        <v>42917</v>
      </c>
      <c r="B1" s="93"/>
      <c r="C1" s="93"/>
      <c r="D1" s="93"/>
      <c r="E1" s="157" t="s">
        <v>135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Table14235694810111213142[[#This Row],[Emergency NFI]]+Table14235694810111213142[[#This Row],[NFI Replenishment ]]+Table14235694810111213142[[#This Row],[NFI3]]</f>
        <v>2232</v>
      </c>
      <c r="F3" s="91">
        <f>Table14235694810111213142[[#This Row],[Emergency Shelter]]+Table14235694810111213142[[#This Row],[Shelter Upgrade/Repair]]+Table14235694810111213142[[#This Row],[Shelter and housing options]]</f>
        <v>24</v>
      </c>
      <c r="G3" s="91">
        <v>2232</v>
      </c>
      <c r="H3" s="91">
        <v>0</v>
      </c>
      <c r="I3" s="91">
        <v>0</v>
      </c>
      <c r="J3" s="91">
        <v>24</v>
      </c>
      <c r="K3" s="91">
        <v>0</v>
      </c>
      <c r="L3" s="90">
        <v>0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Table14235694810111213142[[#This Row],[Emergency NFI]]+Table14235694810111213142[[#This Row],[NFI Replenishment ]]+Table14235694810111213142[[#This Row],[NFI3]]</f>
        <v>0</v>
      </c>
      <c r="F4" s="5">
        <f>Table14235694810111213142[[#This Row],[Emergency Shelter]]+Table14235694810111213142[[#This Row],[Shelter Upgrade/Repair]]+Table14235694810111213142[[#This Row],[Shelter and housing options]]</f>
        <v>0</v>
      </c>
      <c r="G4" s="5">
        <v>0</v>
      </c>
      <c r="H4" s="5">
        <v>0</v>
      </c>
      <c r="I4" s="5">
        <v>0</v>
      </c>
      <c r="J4" s="91">
        <v>0</v>
      </c>
      <c r="K4" s="5">
        <v>0</v>
      </c>
      <c r="L4" s="89">
        <v>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Table14235694810111213142[[#This Row],[Emergency NFI]]+Table14235694810111213142[[#This Row],[NFI Replenishment ]]+Table14235694810111213142[[#This Row],[NFI3]]</f>
        <v>180</v>
      </c>
      <c r="F5" s="5">
        <f>Table14235694810111213142[[#This Row],[Emergency Shelter]]+Table14235694810111213142[[#This Row],[Shelter Upgrade/Repair]]+Table14235694810111213142[[#This Row],[Shelter and housing options]]</f>
        <v>0</v>
      </c>
      <c r="G5" s="5">
        <v>180</v>
      </c>
      <c r="H5" s="5">
        <v>0</v>
      </c>
      <c r="I5" s="5">
        <v>0</v>
      </c>
      <c r="J5" s="5">
        <v>0</v>
      </c>
      <c r="K5" s="5">
        <v>0</v>
      </c>
      <c r="L5" s="89">
        <v>0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Table14235694810111213142[[#This Row],[Emergency NFI]]+Table14235694810111213142[[#This Row],[NFI Replenishment ]]+Table14235694810111213142[[#This Row],[NFI3]]</f>
        <v>0</v>
      </c>
      <c r="F6" s="5">
        <f>Table14235694810111213142[[#This Row],[Emergency Shelter]]+Table14235694810111213142[[#This Row],[Shelter Upgrade/Repair]]+Table14235694810111213142[[#This Row],[Shelter and housing options]]</f>
        <v>0</v>
      </c>
      <c r="G6" s="5">
        <v>0</v>
      </c>
      <c r="H6" s="5"/>
      <c r="I6" s="5">
        <v>0</v>
      </c>
      <c r="J6" s="5">
        <v>0</v>
      </c>
      <c r="K6" s="5">
        <v>0</v>
      </c>
      <c r="L6" s="89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Table14235694810111213142[[#This Row],[Emergency NFI]]+Table14235694810111213142[[#This Row],[NFI Replenishment ]]+Table14235694810111213142[[#This Row],[NFI3]]</f>
        <v>8136</v>
      </c>
      <c r="F7" s="5">
        <f>Table14235694810111213142[[#This Row],[Emergency Shelter]]+Table14235694810111213142[[#This Row],[Shelter Upgrade/Repair]]+Table14235694810111213142[[#This Row],[Shelter and housing options]]</f>
        <v>1698</v>
      </c>
      <c r="G7" s="5">
        <v>8136</v>
      </c>
      <c r="H7" s="5">
        <v>0</v>
      </c>
      <c r="I7" s="5">
        <v>0</v>
      </c>
      <c r="J7" s="5">
        <v>1698</v>
      </c>
      <c r="K7" s="5">
        <v>0</v>
      </c>
      <c r="L7" s="89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Table14235694810111213142[[#This Row],[Emergency NFI]]+Table14235694810111213142[[#This Row],[NFI Replenishment ]]+Table14235694810111213142[[#This Row],[NFI3]]</f>
        <v>0</v>
      </c>
      <c r="F8" s="5">
        <f>Table14235694810111213142[[#This Row],[Emergency Shelter]]+Table14235694810111213142[[#This Row],[Shelter Upgrade/Repair]]+Table14235694810111213142[[#This Row],[Shelter and housing options]]</f>
        <v>18</v>
      </c>
      <c r="G8" s="5">
        <v>0</v>
      </c>
      <c r="H8" s="5">
        <v>0</v>
      </c>
      <c r="I8" s="5">
        <v>0</v>
      </c>
      <c r="J8" s="5">
        <v>18</v>
      </c>
      <c r="K8" s="5">
        <v>0</v>
      </c>
      <c r="L8" s="89">
        <v>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Table14235694810111213142[[#This Row],[Emergency NFI]]+Table14235694810111213142[[#This Row],[NFI Replenishment ]]+Table14235694810111213142[[#This Row],[NFI3]]</f>
        <v>83574</v>
      </c>
      <c r="F9" s="5">
        <f>Table14235694810111213142[[#This Row],[Emergency Shelter]]+Table14235694810111213142[[#This Row],[Shelter Upgrade/Repair]]+Table14235694810111213142[[#This Row],[Shelter and housing options]]</f>
        <v>540</v>
      </c>
      <c r="G9" s="5">
        <v>83574</v>
      </c>
      <c r="H9" s="5">
        <v>30</v>
      </c>
      <c r="I9" s="5">
        <v>0</v>
      </c>
      <c r="J9" s="5">
        <v>510</v>
      </c>
      <c r="K9" s="5">
        <v>0</v>
      </c>
      <c r="L9" s="89">
        <v>0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Table14235694810111213142[[#This Row],[Emergency NFI]]+Table14235694810111213142[[#This Row],[NFI Replenishment ]]+Table14235694810111213142[[#This Row],[NFI3]]</f>
        <v>0</v>
      </c>
      <c r="F10" s="5">
        <f>Table14235694810111213142[[#This Row],[Emergency Shelter]]+Table14235694810111213142[[#This Row],[Shelter Upgrade/Repair]]+Table14235694810111213142[[#This Row],[Shelter and housing options]]</f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89">
        <v>0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Table14235694810111213142[[#This Row],[Emergency NFI]]+Table14235694810111213142[[#This Row],[NFI Replenishment ]]+Table14235694810111213142[[#This Row],[NFI3]]</f>
        <v>11286</v>
      </c>
      <c r="F11" s="5">
        <f>Table14235694810111213142[[#This Row],[Emergency Shelter]]+Table14235694810111213142[[#This Row],[Shelter Upgrade/Repair]]+Table14235694810111213142[[#This Row],[Shelter and housing options]]</f>
        <v>2034</v>
      </c>
      <c r="G11" s="5">
        <v>11286</v>
      </c>
      <c r="H11" s="5">
        <v>534</v>
      </c>
      <c r="I11" s="5">
        <v>0</v>
      </c>
      <c r="J11" s="5">
        <v>1500</v>
      </c>
      <c r="K11" s="5">
        <v>0</v>
      </c>
      <c r="L11" s="89">
        <v>0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Table14235694810111213142[[#This Row],[Emergency NFI]]+Table14235694810111213142[[#This Row],[NFI Replenishment ]]+Table14235694810111213142[[#This Row],[NFI3]]</f>
        <v>36</v>
      </c>
      <c r="F12" s="5">
        <f>Table14235694810111213142[[#This Row],[Emergency Shelter]]+Table14235694810111213142[[#This Row],[Shelter Upgrade/Repair]]+Table14235694810111213142[[#This Row],[Shelter and housing options]]</f>
        <v>0</v>
      </c>
      <c r="G12" s="5">
        <v>36</v>
      </c>
      <c r="H12" s="5">
        <v>0</v>
      </c>
      <c r="I12" s="5">
        <v>0</v>
      </c>
      <c r="J12" s="5">
        <v>0</v>
      </c>
      <c r="K12" s="5">
        <v>0</v>
      </c>
      <c r="L12" s="89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Table14235694810111213142[[#This Row],[Emergency NFI]]+Table14235694810111213142[[#This Row],[NFI Replenishment ]]+Table14235694810111213142[[#This Row],[NFI3]]</f>
        <v>0</v>
      </c>
      <c r="F13" s="5">
        <f>Table14235694810111213142[[#This Row],[Emergency Shelter]]+Table14235694810111213142[[#This Row],[Shelter Upgrade/Repair]]+Table14235694810111213142[[#This Row],[Shelter and housing options]]</f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89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Table14235694810111213142[[#This Row],[Emergency NFI]]+Table14235694810111213142[[#This Row],[NFI Replenishment ]]+Table14235694810111213142[[#This Row],[NFI3]]</f>
        <v>0</v>
      </c>
      <c r="F14" s="5">
        <f>Table14235694810111213142[[#This Row],[Emergency Shelter]]+Table14235694810111213142[[#This Row],[Shelter Upgrade/Repair]]+Table14235694810111213142[[#This Row],[Shelter and housing options]]</f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89">
        <v>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Table14235694810111213142[[#This Row],[Emergency NFI]]+Table14235694810111213142[[#This Row],[NFI Replenishment ]]+Table14235694810111213142[[#This Row],[NFI3]]</f>
        <v>255408</v>
      </c>
      <c r="F15" s="5">
        <f>Table14235694810111213142[[#This Row],[Emergency Shelter]]+Table14235694810111213142[[#This Row],[Shelter Upgrade/Repair]]+Table14235694810111213142[[#This Row],[Shelter and housing options]]</f>
        <v>46224</v>
      </c>
      <c r="G15" s="5">
        <v>254088</v>
      </c>
      <c r="H15" s="5">
        <v>11226</v>
      </c>
      <c r="I15" s="5">
        <v>1320</v>
      </c>
      <c r="J15" s="5">
        <v>34998</v>
      </c>
      <c r="K15" s="5">
        <v>0</v>
      </c>
      <c r="L15" s="89">
        <v>0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Table14235694810111213142[[#This Row],[Emergency NFI]]+Table14235694810111213142[[#This Row],[NFI Replenishment ]]+Table14235694810111213142[[#This Row],[NFI3]]</f>
        <v>0</v>
      </c>
      <c r="F16" s="5">
        <f>Table14235694810111213142[[#This Row],[Emergency Shelter]]+Table14235694810111213142[[#This Row],[Shelter Upgrade/Repair]]+Table14235694810111213142[[#This Row],[Shelter and housing options]]</f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89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Table14235694810111213142[[#This Row],[Emergency NFI]]+Table14235694810111213142[[#This Row],[NFI Replenishment ]]+Table14235694810111213142[[#This Row],[NFI3]]</f>
        <v>4794</v>
      </c>
      <c r="F17" s="5">
        <f>Table14235694810111213142[[#This Row],[Emergency Shelter]]+Table14235694810111213142[[#This Row],[Shelter Upgrade/Repair]]+Table14235694810111213142[[#This Row],[Shelter and housing options]]</f>
        <v>4794</v>
      </c>
      <c r="G17" s="5">
        <v>4794</v>
      </c>
      <c r="H17" s="5">
        <v>4794</v>
      </c>
      <c r="I17" s="5">
        <v>0</v>
      </c>
      <c r="J17" s="5">
        <v>0</v>
      </c>
      <c r="K17" s="5">
        <v>0</v>
      </c>
      <c r="L17" s="89">
        <v>0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Table14235694810111213142[[#This Row],[Emergency NFI]]+Table14235694810111213142[[#This Row],[NFI Replenishment ]]+Table14235694810111213142[[#This Row],[NFI3]]</f>
        <v>660</v>
      </c>
      <c r="F18" s="5">
        <f>Table14235694810111213142[[#This Row],[Emergency Shelter]]+Table14235694810111213142[[#This Row],[Shelter Upgrade/Repair]]+Table14235694810111213142[[#This Row],[Shelter and housing options]]</f>
        <v>60</v>
      </c>
      <c r="G18" s="5">
        <v>660</v>
      </c>
      <c r="H18" s="5">
        <v>36</v>
      </c>
      <c r="I18" s="5">
        <v>0</v>
      </c>
      <c r="J18" s="5">
        <v>24</v>
      </c>
      <c r="K18" s="5">
        <v>0</v>
      </c>
      <c r="L18" s="89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Table14235694810111213142[[#This Row],[Emergency NFI]]+Table14235694810111213142[[#This Row],[NFI Replenishment ]]+Table14235694810111213142[[#This Row],[NFI3]]</f>
        <v>0</v>
      </c>
      <c r="F19" s="5">
        <f>Table14235694810111213142[[#This Row],[Emergency Shelter]]+Table14235694810111213142[[#This Row],[Shelter Upgrade/Repair]]+Table14235694810111213142[[#This Row],[Shelter and housing options]]</f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89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Table14235694810111213142[[#This Row],[Emergency NFI]]+Table14235694810111213142[[#This Row],[NFI Replenishment ]]+Table14235694810111213142[[#This Row],[NFI3]]</f>
        <v>0</v>
      </c>
      <c r="F20" s="5">
        <f>Table14235694810111213142[[#This Row],[Emergency Shelter]]+Table14235694810111213142[[#This Row],[Shelter Upgrade/Repair]]+Table14235694810111213142[[#This Row],[Shelter and housing options]]</f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89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366306</v>
      </c>
      <c r="F21" s="9">
        <f>Table14235694810111213142[[#This Row],[Emergency Shelter]]+Table14235694810111213142[[#This Row],[Shelter Upgrade/Repair]]+Table14235694810111213142[[#This Row],[Shelter and housing options]]</f>
        <v>55392</v>
      </c>
      <c r="G21" s="9">
        <f>SUBTOTAL(109,G3:G20)</f>
        <v>364986</v>
      </c>
      <c r="H21" s="9">
        <f>SUBTOTAL(109,H3:H20)</f>
        <v>16620</v>
      </c>
      <c r="I21" s="9">
        <f t="shared" ref="I21:L21" si="0">SUBTOTAL(109,I3:I20)</f>
        <v>1320</v>
      </c>
      <c r="J21" s="9">
        <f t="shared" si="0"/>
        <v>38772</v>
      </c>
      <c r="K21" s="9">
        <f t="shared" si="0"/>
        <v>0</v>
      </c>
      <c r="L21" s="9">
        <f t="shared" si="0"/>
        <v>0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L22" si="1">D21/6</f>
        <v>387723.49999999994</v>
      </c>
      <c r="E22" s="11">
        <f t="shared" si="1"/>
        <v>61051</v>
      </c>
      <c r="F22" s="11">
        <f>Table14235694810111213142[[#This Row],[Emergency Shelter]]+Table14235694810111213142[[#This Row],[Shelter Upgrade/Repair]]+Table14235694810111213142[[#This Row],[Shelter and housing options]]</f>
        <v>9232</v>
      </c>
      <c r="G22" s="11">
        <f t="shared" si="1"/>
        <v>60831</v>
      </c>
      <c r="H22" s="11">
        <f t="shared" si="1"/>
        <v>2770</v>
      </c>
      <c r="I22" s="11">
        <f t="shared" si="1"/>
        <v>220</v>
      </c>
      <c r="J22" s="11">
        <f t="shared" si="1"/>
        <v>6462</v>
      </c>
      <c r="K22" s="11">
        <f t="shared" si="1"/>
        <v>0</v>
      </c>
      <c r="L22" s="11">
        <f t="shared" si="1"/>
        <v>0</v>
      </c>
    </row>
    <row r="23" spans="1:12" x14ac:dyDescent="0.25">
      <c r="A23" s="108"/>
      <c r="B23" s="109"/>
      <c r="C23" s="110"/>
      <c r="D23" s="110"/>
      <c r="E23" s="111">
        <f>E21/D21</f>
        <v>0.15746014879160022</v>
      </c>
      <c r="F23" s="111">
        <f>F21/D21</f>
        <v>2.3810782684051911E-2</v>
      </c>
      <c r="G23" s="112"/>
      <c r="H23" s="110"/>
      <c r="I23" s="112"/>
      <c r="J23" s="110"/>
      <c r="K23" s="112"/>
      <c r="L23" s="113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2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2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3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4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4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4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4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4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4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4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4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4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4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4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4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4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4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4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4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4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5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6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0"/>
  <sheetViews>
    <sheetView showGridLines="0" zoomScale="80" zoomScaleNormal="8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A24" sqref="A24"/>
    </sheetView>
  </sheetViews>
  <sheetFormatPr defaultColWidth="32.5703125" defaultRowHeight="15" x14ac:dyDescent="0.25"/>
  <cols>
    <col min="1" max="1" width="18.42578125" style="3" customWidth="1"/>
    <col min="2" max="2" width="16.42578125" style="3" customWidth="1"/>
    <col min="3" max="4" width="17.5703125" style="3" customWidth="1"/>
    <col min="5" max="12" width="19" style="3" customWidth="1"/>
    <col min="13" max="16384" width="32.5703125" style="3"/>
  </cols>
  <sheetData>
    <row r="1" spans="1:12" ht="31.5" customHeight="1" x14ac:dyDescent="0.25">
      <c r="A1" s="106">
        <v>42948</v>
      </c>
      <c r="B1" s="93"/>
      <c r="C1" s="93"/>
      <c r="D1" s="93"/>
      <c r="E1" s="157" t="s">
        <v>137</v>
      </c>
      <c r="F1" s="157"/>
      <c r="G1" s="158" t="s">
        <v>38</v>
      </c>
      <c r="H1" s="158"/>
      <c r="I1" s="158" t="s">
        <v>37</v>
      </c>
      <c r="J1" s="158"/>
      <c r="K1" s="158" t="s">
        <v>36</v>
      </c>
      <c r="L1" s="158"/>
    </row>
    <row r="2" spans="1:12" s="1" customFormat="1" ht="31.5" customHeight="1" x14ac:dyDescent="0.3">
      <c r="A2" s="94" t="s">
        <v>41</v>
      </c>
      <c r="B2" s="94" t="s">
        <v>40</v>
      </c>
      <c r="C2" s="92" t="s">
        <v>42</v>
      </c>
      <c r="D2" s="92" t="s">
        <v>39</v>
      </c>
      <c r="E2" s="92" t="s">
        <v>119</v>
      </c>
      <c r="F2" s="92" t="s">
        <v>120</v>
      </c>
      <c r="G2" s="95" t="s">
        <v>122</v>
      </c>
      <c r="H2" s="95" t="s">
        <v>123</v>
      </c>
      <c r="I2" s="95" t="s">
        <v>125</v>
      </c>
      <c r="J2" s="95" t="s">
        <v>126</v>
      </c>
      <c r="K2" s="95" t="s">
        <v>121</v>
      </c>
      <c r="L2" s="95" t="s">
        <v>127</v>
      </c>
    </row>
    <row r="3" spans="1:12" x14ac:dyDescent="0.25">
      <c r="A3" s="2" t="s">
        <v>35</v>
      </c>
      <c r="B3" s="2" t="s">
        <v>34</v>
      </c>
      <c r="C3" s="6">
        <v>886545.34964906226</v>
      </c>
      <c r="D3" s="6">
        <v>490242.11595303135</v>
      </c>
      <c r="E3" s="91">
        <f>Table142356948101112131423[[#This Row],[Emergency NFI]]+Table142356948101112131423[[#This Row],[NFI Replenishment ]]+Table142356948101112131423[[#This Row],[NFI3]]</f>
        <v>26964</v>
      </c>
      <c r="F3" s="91">
        <f>Table142356948101112131423[[#This Row],[Emergency Shelter]]+Table142356948101112131423[[#This Row],[Shelter Upgrade/Repair]]+Table142356948101112131423[[#This Row],[Shelter and housing options]]</f>
        <v>14100</v>
      </c>
      <c r="G3" s="91">
        <v>26964</v>
      </c>
      <c r="H3" s="91">
        <v>6972</v>
      </c>
      <c r="I3" s="91">
        <v>0</v>
      </c>
      <c r="J3" s="91">
        <v>7128</v>
      </c>
      <c r="K3" s="91">
        <v>0</v>
      </c>
      <c r="L3" s="90">
        <v>0</v>
      </c>
    </row>
    <row r="4" spans="1:12" x14ac:dyDescent="0.25">
      <c r="A4" s="2" t="s">
        <v>33</v>
      </c>
      <c r="B4" s="2" t="s">
        <v>32</v>
      </c>
      <c r="C4" s="6">
        <v>18256.104126851671</v>
      </c>
      <c r="D4" s="6">
        <v>10095.265989212441</v>
      </c>
      <c r="E4" s="91">
        <f>Table142356948101112131423[[#This Row],[Emergency NFI]]+Table142356948101112131423[[#This Row],[NFI Replenishment ]]+Table142356948101112131423[[#This Row],[NFI3]]</f>
        <v>0</v>
      </c>
      <c r="F4" s="5">
        <f>Table142356948101112131423[[#This Row],[Emergency Shelter]]+Table142356948101112131423[[#This Row],[Shelter Upgrade/Repair]]+Table142356948101112131423[[#This Row],[Shelter and housing options]]</f>
        <v>0</v>
      </c>
      <c r="G4" s="91">
        <v>0</v>
      </c>
      <c r="H4" s="5">
        <v>0</v>
      </c>
      <c r="I4" s="5">
        <v>0</v>
      </c>
      <c r="J4" s="91">
        <v>0</v>
      </c>
      <c r="K4" s="5">
        <v>0</v>
      </c>
      <c r="L4" s="89">
        <v>0</v>
      </c>
    </row>
    <row r="5" spans="1:12" x14ac:dyDescent="0.25">
      <c r="A5" s="2" t="s">
        <v>31</v>
      </c>
      <c r="B5" s="2" t="s">
        <v>30</v>
      </c>
      <c r="C5" s="6">
        <v>163558.6022816957</v>
      </c>
      <c r="D5" s="6">
        <v>90444.685426006967</v>
      </c>
      <c r="E5" s="91">
        <f>Table142356948101112131423[[#This Row],[Emergency NFI]]+Table142356948101112131423[[#This Row],[NFI Replenishment ]]+Table142356948101112131423[[#This Row],[NFI3]]</f>
        <v>6</v>
      </c>
      <c r="F5" s="5">
        <f>Table142356948101112131423[[#This Row],[Emergency Shelter]]+Table142356948101112131423[[#This Row],[Shelter Upgrade/Repair]]+Table142356948101112131423[[#This Row],[Shelter and housing options]]</f>
        <v>1506</v>
      </c>
      <c r="G5" s="5">
        <v>6</v>
      </c>
      <c r="H5" s="5">
        <v>6</v>
      </c>
      <c r="I5" s="5">
        <v>0</v>
      </c>
      <c r="J5" s="5">
        <v>1500</v>
      </c>
      <c r="K5" s="5">
        <v>0</v>
      </c>
      <c r="L5" s="89">
        <v>0</v>
      </c>
    </row>
    <row r="6" spans="1:12" s="30" customFormat="1" x14ac:dyDescent="0.25">
      <c r="A6" s="28" t="s">
        <v>29</v>
      </c>
      <c r="B6" s="28" t="s">
        <v>28</v>
      </c>
      <c r="C6" s="29">
        <v>2446.4634173309851</v>
      </c>
      <c r="D6" s="29">
        <v>1352.846081465309</v>
      </c>
      <c r="E6" s="91">
        <f>Table142356948101112131423[[#This Row],[Emergency NFI]]+Table142356948101112131423[[#This Row],[NFI Replenishment ]]+Table142356948101112131423[[#This Row],[NFI3]]</f>
        <v>0</v>
      </c>
      <c r="F6" s="5">
        <f>Table142356948101112131423[[#This Row],[Emergency Shelter]]+Table142356948101112131423[[#This Row],[Shelter Upgrade/Repair]]+Table142356948101112131423[[#This Row],[Shelter and housing options]]</f>
        <v>0</v>
      </c>
      <c r="G6" s="5">
        <v>0</v>
      </c>
      <c r="H6" s="5">
        <v>0</v>
      </c>
      <c r="I6" s="5"/>
      <c r="J6" s="5">
        <v>0</v>
      </c>
      <c r="K6" s="5">
        <v>0</v>
      </c>
      <c r="L6" s="89">
        <v>0</v>
      </c>
    </row>
    <row r="7" spans="1:12" x14ac:dyDescent="0.25">
      <c r="A7" s="25" t="s">
        <v>27</v>
      </c>
      <c r="B7" s="25" t="s">
        <v>26</v>
      </c>
      <c r="C7" s="21">
        <v>275356.37801431824</v>
      </c>
      <c r="D7" s="21">
        <v>262285.4914534979</v>
      </c>
      <c r="E7" s="91">
        <f>Table142356948101112131423[[#This Row],[Emergency NFI]]+Table142356948101112131423[[#This Row],[NFI Replenishment ]]+Table142356948101112131423[[#This Row],[NFI3]]</f>
        <v>0</v>
      </c>
      <c r="F7" s="5">
        <f>Table142356948101112131423[[#This Row],[Emergency Shelter]]+Table142356948101112131423[[#This Row],[Shelter Upgrade/Repair]]+Table142356948101112131423[[#This Row],[Shelter and housing options]]</f>
        <v>546</v>
      </c>
      <c r="G7" s="5">
        <v>0</v>
      </c>
      <c r="H7" s="5">
        <v>0</v>
      </c>
      <c r="I7" s="5">
        <v>0</v>
      </c>
      <c r="J7" s="5">
        <v>546</v>
      </c>
      <c r="K7" s="5">
        <v>0</v>
      </c>
      <c r="L7" s="89">
        <v>0</v>
      </c>
    </row>
    <row r="8" spans="1:12" x14ac:dyDescent="0.25">
      <c r="A8" s="2" t="s">
        <v>25</v>
      </c>
      <c r="B8" s="2" t="s">
        <v>24</v>
      </c>
      <c r="C8" s="6">
        <v>196589.42672996817</v>
      </c>
      <c r="D8" s="6">
        <v>108710.08073331327</v>
      </c>
      <c r="E8" s="91">
        <f>Table142356948101112131423[[#This Row],[Emergency NFI]]+Table142356948101112131423[[#This Row],[NFI Replenishment ]]+Table142356948101112131423[[#This Row],[NFI3]]</f>
        <v>0</v>
      </c>
      <c r="F8" s="5">
        <f>Table142356948101112131423[[#This Row],[Emergency Shelter]]+Table142356948101112131423[[#This Row],[Shelter Upgrade/Repair]]+Table142356948101112131423[[#This Row],[Shelter and housing options]]</f>
        <v>228</v>
      </c>
      <c r="G8" s="5">
        <v>0</v>
      </c>
      <c r="H8" s="5">
        <v>0</v>
      </c>
      <c r="I8" s="5">
        <v>0</v>
      </c>
      <c r="J8" s="5">
        <v>228</v>
      </c>
      <c r="K8" s="5">
        <v>0</v>
      </c>
      <c r="L8" s="89">
        <v>0</v>
      </c>
    </row>
    <row r="9" spans="1:12" x14ac:dyDescent="0.25">
      <c r="A9" s="25" t="s">
        <v>23</v>
      </c>
      <c r="B9" s="25" t="s">
        <v>22</v>
      </c>
      <c r="C9" s="21">
        <v>233090.37321152564</v>
      </c>
      <c r="D9" s="21">
        <v>222025.81081192615</v>
      </c>
      <c r="E9" s="91">
        <f>Table142356948101112131423[[#This Row],[Emergency NFI]]+Table142356948101112131423[[#This Row],[NFI Replenishment ]]+Table142356948101112131423[[#This Row],[NFI3]]</f>
        <v>900</v>
      </c>
      <c r="F9" s="5">
        <f>Table142356948101112131423[[#This Row],[Emergency Shelter]]+Table142356948101112131423[[#This Row],[Shelter Upgrade/Repair]]+Table142356948101112131423[[#This Row],[Shelter and housing options]]</f>
        <v>3114</v>
      </c>
      <c r="G9" s="5">
        <v>900</v>
      </c>
      <c r="H9" s="5">
        <v>180</v>
      </c>
      <c r="I9" s="5">
        <v>0</v>
      </c>
      <c r="J9" s="5">
        <v>2934</v>
      </c>
      <c r="K9" s="5">
        <v>0</v>
      </c>
      <c r="L9" s="89">
        <v>0</v>
      </c>
    </row>
    <row r="10" spans="1:12" x14ac:dyDescent="0.25">
      <c r="A10" s="2" t="s">
        <v>21</v>
      </c>
      <c r="B10" s="2" t="s">
        <v>20</v>
      </c>
      <c r="C10" s="6">
        <v>25547.225959795738</v>
      </c>
      <c r="D10" s="6">
        <v>14127.112748623869</v>
      </c>
      <c r="E10" s="91">
        <f>Table142356948101112131423[[#This Row],[Emergency NFI]]+Table142356948101112131423[[#This Row],[NFI Replenishment ]]+Table142356948101112131423[[#This Row],[NFI3]]</f>
        <v>0</v>
      </c>
      <c r="F10" s="5">
        <f>Table142356948101112131423[[#This Row],[Emergency Shelter]]+Table142356948101112131423[[#This Row],[Shelter Upgrade/Repair]]+Table142356948101112131423[[#This Row],[Shelter and housing options]]</f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89">
        <v>0</v>
      </c>
    </row>
    <row r="11" spans="1:12" x14ac:dyDescent="0.25">
      <c r="A11" s="2" t="s">
        <v>19</v>
      </c>
      <c r="B11" s="2" t="s">
        <v>18</v>
      </c>
      <c r="C11" s="6">
        <v>301949.0931606954</v>
      </c>
      <c r="D11" s="6">
        <v>166971.90098599586</v>
      </c>
      <c r="E11" s="91">
        <f>Table142356948101112131423[[#This Row],[Emergency NFI]]+Table142356948101112131423[[#This Row],[NFI Replenishment ]]+Table142356948101112131423[[#This Row],[NFI3]]</f>
        <v>20508</v>
      </c>
      <c r="F11" s="5">
        <f>Table142356948101112131423[[#This Row],[Emergency Shelter]]+Table142356948101112131423[[#This Row],[Shelter Upgrade/Repair]]+Table142356948101112131423[[#This Row],[Shelter and housing options]]</f>
        <v>9462</v>
      </c>
      <c r="G11" s="5">
        <v>18762</v>
      </c>
      <c r="H11" s="5">
        <v>654</v>
      </c>
      <c r="I11" s="5">
        <v>1746</v>
      </c>
      <c r="J11" s="5">
        <v>8808</v>
      </c>
      <c r="K11" s="5">
        <v>0</v>
      </c>
      <c r="L11" s="89">
        <v>0</v>
      </c>
    </row>
    <row r="12" spans="1:12" s="30" customFormat="1" x14ac:dyDescent="0.25">
      <c r="A12" s="28" t="s">
        <v>17</v>
      </c>
      <c r="B12" s="28" t="s">
        <v>16</v>
      </c>
      <c r="C12" s="29">
        <v>1992.2148453703376</v>
      </c>
      <c r="D12" s="29">
        <v>1101.655568566242</v>
      </c>
      <c r="E12" s="91">
        <f>Table142356948101112131423[[#This Row],[Emergency NFI]]+Table142356948101112131423[[#This Row],[NFI Replenishment ]]+Table142356948101112131423[[#This Row],[NFI3]]</f>
        <v>0</v>
      </c>
      <c r="F12" s="5">
        <f>Table142356948101112131423[[#This Row],[Emergency Shelter]]+Table142356948101112131423[[#This Row],[Shelter Upgrade/Repair]]+Table142356948101112131423[[#This Row],[Shelter and housing options]]</f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89">
        <v>0</v>
      </c>
    </row>
    <row r="13" spans="1:12" s="30" customFormat="1" x14ac:dyDescent="0.25">
      <c r="A13" s="28" t="s">
        <v>15</v>
      </c>
      <c r="B13" s="28" t="s">
        <v>14</v>
      </c>
      <c r="C13" s="29">
        <v>1255.9510204143551</v>
      </c>
      <c r="D13" s="29">
        <v>694.51617565309459</v>
      </c>
      <c r="E13" s="91">
        <f>Table142356948101112131423[[#This Row],[Emergency NFI]]+Table142356948101112131423[[#This Row],[NFI Replenishment ]]+Table142356948101112131423[[#This Row],[NFI3]]</f>
        <v>0</v>
      </c>
      <c r="F13" s="5">
        <f>Table142356948101112131423[[#This Row],[Emergency Shelter]]+Table142356948101112131423[[#This Row],[Shelter Upgrade/Repair]]+Table142356948101112131423[[#This Row],[Shelter and housing options]]</f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89">
        <v>0</v>
      </c>
    </row>
    <row r="14" spans="1:12" x14ac:dyDescent="0.25">
      <c r="A14" s="2" t="s">
        <v>13</v>
      </c>
      <c r="B14" s="2" t="s">
        <v>12</v>
      </c>
      <c r="C14" s="6">
        <v>25088.514359450914</v>
      </c>
      <c r="D14" s="6">
        <v>13873.454268937221</v>
      </c>
      <c r="E14" s="91">
        <f>Table142356948101112131423[[#This Row],[Emergency NFI]]+Table142356948101112131423[[#This Row],[NFI Replenishment ]]+Table142356948101112131423[[#This Row],[NFI3]]</f>
        <v>0</v>
      </c>
      <c r="F14" s="5">
        <f>Table142356948101112131423[[#This Row],[Emergency Shelter]]+Table142356948101112131423[[#This Row],[Shelter Upgrade/Repair]]+Table142356948101112131423[[#This Row],[Shelter and housing options]]</f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89">
        <v>0</v>
      </c>
    </row>
    <row r="15" spans="1:12" x14ac:dyDescent="0.25">
      <c r="A15" s="38" t="s">
        <v>11</v>
      </c>
      <c r="B15" s="38" t="s">
        <v>10</v>
      </c>
      <c r="C15" s="39">
        <v>1264312.690125369</v>
      </c>
      <c r="D15" s="39">
        <v>648858</v>
      </c>
      <c r="E15" s="91">
        <f>Table142356948101112131423[[#This Row],[Emergency NFI]]+Table142356948101112131423[[#This Row],[NFI Replenishment ]]+Table142356948101112131423[[#This Row],[NFI3]]</f>
        <v>35334</v>
      </c>
      <c r="F15" s="5">
        <f>Table142356948101112131423[[#This Row],[Emergency Shelter]]+Table142356948101112131423[[#This Row],[Shelter Upgrade/Repair]]+Table142356948101112131423[[#This Row],[Shelter and housing options]]</f>
        <v>63396</v>
      </c>
      <c r="G15" s="5">
        <v>35334</v>
      </c>
      <c r="H15" s="5">
        <v>59340</v>
      </c>
      <c r="I15" s="5">
        <v>0</v>
      </c>
      <c r="J15" s="5">
        <v>4056</v>
      </c>
      <c r="K15" s="5">
        <v>0</v>
      </c>
      <c r="L15" s="89">
        <v>0</v>
      </c>
    </row>
    <row r="16" spans="1:12" s="30" customFormat="1" x14ac:dyDescent="0.25">
      <c r="A16" s="28" t="s">
        <v>9</v>
      </c>
      <c r="B16" s="28" t="s">
        <v>8</v>
      </c>
      <c r="C16" s="29">
        <v>6864.6295732047893</v>
      </c>
      <c r="D16" s="29">
        <v>3796.0049404509668</v>
      </c>
      <c r="E16" s="91">
        <f>Table142356948101112131423[[#This Row],[Emergency NFI]]+Table142356948101112131423[[#This Row],[NFI Replenishment ]]+Table142356948101112131423[[#This Row],[NFI3]]</f>
        <v>0</v>
      </c>
      <c r="F16" s="5">
        <f>Table142356948101112131423[[#This Row],[Emergency Shelter]]+Table142356948101112131423[[#This Row],[Shelter Upgrade/Repair]]+Table142356948101112131423[[#This Row],[Shelter and housing options]]</f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89">
        <v>0</v>
      </c>
    </row>
    <row r="17" spans="1:12" x14ac:dyDescent="0.25">
      <c r="A17" s="2" t="s">
        <v>7</v>
      </c>
      <c r="B17" s="2" t="s">
        <v>6</v>
      </c>
      <c r="C17" s="6">
        <v>404341.49887262163</v>
      </c>
      <c r="D17" s="6">
        <v>223592.88450771463</v>
      </c>
      <c r="E17" s="91">
        <f>Table142356948101112131423[[#This Row],[Emergency NFI]]+Table142356948101112131423[[#This Row],[NFI Replenishment ]]+Table142356948101112131423[[#This Row],[NFI3]]</f>
        <v>8370</v>
      </c>
      <c r="F17" s="5">
        <f>Table142356948101112131423[[#This Row],[Emergency Shelter]]+Table142356948101112131423[[#This Row],[Shelter Upgrade/Repair]]+Table142356948101112131423[[#This Row],[Shelter and housing options]]</f>
        <v>3000</v>
      </c>
      <c r="G17" s="5">
        <v>8370</v>
      </c>
      <c r="H17" s="5">
        <v>0</v>
      </c>
      <c r="I17" s="5">
        <v>0</v>
      </c>
      <c r="J17" s="5">
        <v>3000</v>
      </c>
      <c r="K17" s="5">
        <v>0</v>
      </c>
      <c r="L17" s="89">
        <v>0</v>
      </c>
    </row>
    <row r="18" spans="1:12" x14ac:dyDescent="0.25">
      <c r="A18" s="25" t="s">
        <v>5</v>
      </c>
      <c r="B18" s="25" t="s">
        <v>4</v>
      </c>
      <c r="C18" s="21">
        <v>65699.380344325429</v>
      </c>
      <c r="D18" s="21">
        <v>62580.697734575915</v>
      </c>
      <c r="E18" s="91">
        <f>Table142356948101112131423[[#This Row],[Emergency NFI]]+Table142356948101112131423[[#This Row],[NFI Replenishment ]]+Table142356948101112131423[[#This Row],[NFI3]]</f>
        <v>6</v>
      </c>
      <c r="F18" s="5">
        <f>Table142356948101112131423[[#This Row],[Emergency Shelter]]+Table142356948101112131423[[#This Row],[Shelter Upgrade/Repair]]+Table142356948101112131423[[#This Row],[Shelter and housing options]]</f>
        <v>6438</v>
      </c>
      <c r="G18" s="5">
        <v>6</v>
      </c>
      <c r="H18" s="5">
        <v>48</v>
      </c>
      <c r="I18" s="5">
        <v>0</v>
      </c>
      <c r="J18" s="5">
        <v>6390</v>
      </c>
      <c r="K18" s="5">
        <v>0</v>
      </c>
      <c r="L18" s="89">
        <v>0</v>
      </c>
    </row>
    <row r="19" spans="1:12" s="30" customFormat="1" x14ac:dyDescent="0.25">
      <c r="A19" s="28" t="s">
        <v>3</v>
      </c>
      <c r="B19" s="28" t="s">
        <v>2</v>
      </c>
      <c r="C19" s="29">
        <v>2031.8433903509988</v>
      </c>
      <c r="D19" s="29">
        <v>1123.569373371771</v>
      </c>
      <c r="E19" s="91">
        <f>Table142356948101112131423[[#This Row],[Emergency NFI]]+Table142356948101112131423[[#This Row],[NFI Replenishment ]]+Table142356948101112131423[[#This Row],[NFI3]]</f>
        <v>0</v>
      </c>
      <c r="F19" s="5">
        <f>Table142356948101112131423[[#This Row],[Emergency Shelter]]+Table142356948101112131423[[#This Row],[Shelter Upgrade/Repair]]+Table142356948101112131423[[#This Row],[Shelter and housing options]]</f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89">
        <v>0</v>
      </c>
    </row>
    <row r="20" spans="1:12" s="30" customFormat="1" x14ac:dyDescent="0.25">
      <c r="A20" s="34" t="s">
        <v>1</v>
      </c>
      <c r="B20" s="34" t="s">
        <v>0</v>
      </c>
      <c r="C20" s="35">
        <v>8074.2609176487258</v>
      </c>
      <c r="D20" s="35">
        <v>4464.9072476573028</v>
      </c>
      <c r="E20" s="91">
        <f>Table142356948101112131423[[#This Row],[Emergency NFI]]+Table142356948101112131423[[#This Row],[NFI Replenishment ]]+Table142356948101112131423[[#This Row],[NFI3]]</f>
        <v>0</v>
      </c>
      <c r="F20" s="5">
        <f>Table142356948101112131423[[#This Row],[Emergency Shelter]]+Table142356948101112131423[[#This Row],[Shelter Upgrade/Repair]]+Table142356948101112131423[[#This Row],[Shelter and housing options]]</f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89">
        <v>0</v>
      </c>
    </row>
    <row r="21" spans="1:12" x14ac:dyDescent="0.25">
      <c r="A21" s="8" t="s">
        <v>43</v>
      </c>
      <c r="B21" s="8"/>
      <c r="C21" s="9">
        <f>SUBTOTAL(109,C3:C20)</f>
        <v>3883000</v>
      </c>
      <c r="D21" s="9">
        <f>SUBTOTAL(109,D3:D20)</f>
        <v>2326340.9999999995</v>
      </c>
      <c r="E21" s="9">
        <f>SUBTOTAL(109,E3:E20)</f>
        <v>92088</v>
      </c>
      <c r="F21" s="9">
        <f>Table142356948101112131423[[#This Row],[Emergency Shelter]]+Table142356948101112131423[[#This Row],[Shelter Upgrade/Repair]]+Table142356948101112131423[[#This Row],[Shelter and housing options]]</f>
        <v>101790</v>
      </c>
      <c r="G21" s="9">
        <f>SUBTOTAL(109,G3:G20)</f>
        <v>90342</v>
      </c>
      <c r="H21" s="9">
        <f>SUBTOTAL(109,H3:H20)</f>
        <v>67200</v>
      </c>
      <c r="I21" s="9">
        <f t="shared" ref="I21:L21" si="0">SUBTOTAL(109,I3:I20)</f>
        <v>1746</v>
      </c>
      <c r="J21" s="9">
        <f t="shared" si="0"/>
        <v>34590</v>
      </c>
      <c r="K21" s="9">
        <f t="shared" si="0"/>
        <v>0</v>
      </c>
      <c r="L21" s="9">
        <f t="shared" si="0"/>
        <v>0</v>
      </c>
    </row>
    <row r="22" spans="1:12" x14ac:dyDescent="0.25">
      <c r="A22" s="10" t="s">
        <v>44</v>
      </c>
      <c r="B22" s="10"/>
      <c r="C22" s="11">
        <f>C21/6</f>
        <v>647166.66666666663</v>
      </c>
      <c r="D22" s="11">
        <f t="shared" ref="D22:L22" si="1">D21/6</f>
        <v>387723.49999999994</v>
      </c>
      <c r="E22" s="11">
        <f t="shared" si="1"/>
        <v>15348</v>
      </c>
      <c r="F22" s="11">
        <f>Table142356948101112131423[[#This Row],[Emergency Shelter]]+Table142356948101112131423[[#This Row],[Shelter Upgrade/Repair]]+Table142356948101112131423[[#This Row],[Shelter and housing options]]</f>
        <v>16965</v>
      </c>
      <c r="G22" s="11">
        <f t="shared" si="1"/>
        <v>15057</v>
      </c>
      <c r="H22" s="11">
        <f t="shared" si="1"/>
        <v>11200</v>
      </c>
      <c r="I22" s="11">
        <f t="shared" si="1"/>
        <v>291</v>
      </c>
      <c r="J22" s="11">
        <f t="shared" si="1"/>
        <v>5765</v>
      </c>
      <c r="K22" s="11">
        <f t="shared" si="1"/>
        <v>0</v>
      </c>
      <c r="L22" s="11">
        <f t="shared" si="1"/>
        <v>0</v>
      </c>
    </row>
    <row r="23" spans="1:12" x14ac:dyDescent="0.25">
      <c r="A23" s="116"/>
      <c r="B23" s="117"/>
      <c r="C23" s="118"/>
      <c r="D23" s="118"/>
      <c r="E23" s="119">
        <f>E21/D21</f>
        <v>3.958491038072235E-2</v>
      </c>
      <c r="F23" s="119">
        <f>F21/D21</f>
        <v>4.3755408171029103E-2</v>
      </c>
      <c r="G23" s="120"/>
      <c r="H23" s="118"/>
      <c r="I23" s="120"/>
      <c r="J23" s="118"/>
      <c r="K23" s="120"/>
      <c r="L23" s="121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9" t="s">
        <v>58</v>
      </c>
      <c r="B25" s="4"/>
      <c r="C25" s="4"/>
      <c r="D25" s="4"/>
      <c r="E25" s="4"/>
      <c r="F25" s="4"/>
      <c r="G25" s="7"/>
      <c r="H25" s="7"/>
      <c r="I25" s="4"/>
      <c r="J25" s="4"/>
      <c r="K25" s="4"/>
      <c r="L25" s="4"/>
    </row>
    <row r="26" spans="1:12" ht="18.75" x14ac:dyDescent="0.25">
      <c r="A26" s="12" t="s">
        <v>41</v>
      </c>
      <c r="B26" s="13" t="s">
        <v>40</v>
      </c>
      <c r="C26" s="22" t="s">
        <v>42</v>
      </c>
      <c r="D26" s="22" t="s">
        <v>39</v>
      </c>
      <c r="E26" s="4"/>
      <c r="F26" s="4"/>
      <c r="G26" s="4"/>
      <c r="H26" s="4"/>
      <c r="I26" s="4"/>
      <c r="J26" s="4"/>
      <c r="K26" s="4"/>
      <c r="L26" s="4"/>
    </row>
    <row r="27" spans="1:12" s="42" customFormat="1" x14ac:dyDescent="0.25">
      <c r="A27" s="23" t="s">
        <v>27</v>
      </c>
      <c r="B27" s="23" t="s">
        <v>26</v>
      </c>
      <c r="C27" s="24">
        <v>275356.37801431824</v>
      </c>
      <c r="D27" s="24">
        <f>(C27*$D$30)/$C$30</f>
        <v>262285.4914534979</v>
      </c>
      <c r="E27" s="41"/>
      <c r="F27" s="41"/>
      <c r="G27" s="41"/>
      <c r="H27" s="41"/>
      <c r="I27" s="41"/>
      <c r="J27" s="41"/>
      <c r="K27" s="41"/>
      <c r="L27" s="41"/>
    </row>
    <row r="28" spans="1:12" s="42" customFormat="1" x14ac:dyDescent="0.25">
      <c r="A28" s="23" t="s">
        <v>23</v>
      </c>
      <c r="B28" s="23" t="s">
        <v>22</v>
      </c>
      <c r="C28" s="24">
        <v>233090.37321152564</v>
      </c>
      <c r="D28" s="24">
        <f t="shared" ref="D28:D29" si="2">(C28*$D$30)/$C$30</f>
        <v>222025.81081192615</v>
      </c>
      <c r="E28" s="41"/>
      <c r="F28" s="41"/>
      <c r="G28" s="41"/>
      <c r="H28" s="41"/>
      <c r="I28" s="41"/>
      <c r="J28" s="41"/>
      <c r="K28" s="41"/>
      <c r="L28" s="41"/>
    </row>
    <row r="29" spans="1:12" s="42" customFormat="1" x14ac:dyDescent="0.25">
      <c r="A29" s="20" t="s">
        <v>5</v>
      </c>
      <c r="B29" s="20" t="s">
        <v>4</v>
      </c>
      <c r="C29" s="21">
        <v>65699.380344325429</v>
      </c>
      <c r="D29" s="24">
        <f t="shared" si="2"/>
        <v>62580.697734575915</v>
      </c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14" t="s">
        <v>43</v>
      </c>
      <c r="B30" s="14"/>
      <c r="C30" s="15">
        <f>SUBTOTAL(109,C27:C29)</f>
        <v>574146.13157016935</v>
      </c>
      <c r="D30" s="15">
        <f>'2017 HRP Target'!C2</f>
        <v>546892</v>
      </c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6" t="s">
        <v>44</v>
      </c>
      <c r="B31" s="16"/>
      <c r="C31" s="11">
        <f>C30/6</f>
        <v>95691.021928361559</v>
      </c>
      <c r="D31" s="11">
        <f t="shared" ref="D31" si="3">D30/6</f>
        <v>91148.666666666672</v>
      </c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8.75" x14ac:dyDescent="0.25">
      <c r="A34" s="12" t="s">
        <v>41</v>
      </c>
      <c r="B34" s="13" t="s">
        <v>40</v>
      </c>
      <c r="C34" s="22" t="s">
        <v>42</v>
      </c>
      <c r="D34" s="22" t="s">
        <v>39</v>
      </c>
      <c r="E34" s="4"/>
      <c r="F34" s="4"/>
      <c r="G34" s="4"/>
      <c r="H34" s="4"/>
      <c r="I34" s="4"/>
      <c r="J34" s="4"/>
      <c r="K34" s="4"/>
      <c r="L34" s="4"/>
    </row>
    <row r="35" spans="1:12" s="30" customFormat="1" x14ac:dyDescent="0.25">
      <c r="A35" s="32" t="s">
        <v>35</v>
      </c>
      <c r="B35" s="32" t="s">
        <v>34</v>
      </c>
      <c r="C35" s="33">
        <v>886545.34964906226</v>
      </c>
      <c r="D35" s="33">
        <f>(C35*$D$53)/$C$53</f>
        <v>490242.11595303135</v>
      </c>
      <c r="E35" s="40"/>
      <c r="F35" s="40"/>
      <c r="G35" s="40"/>
      <c r="H35" s="40"/>
      <c r="I35" s="40"/>
      <c r="J35" s="40"/>
      <c r="K35" s="40"/>
      <c r="L35" s="40"/>
    </row>
    <row r="36" spans="1:12" s="30" customFormat="1" x14ac:dyDescent="0.25">
      <c r="A36" s="31" t="s">
        <v>33</v>
      </c>
      <c r="B36" s="31" t="s">
        <v>32</v>
      </c>
      <c r="C36" s="29">
        <v>18256.104126851671</v>
      </c>
      <c r="D36" s="33">
        <f t="shared" ref="D36:D52" si="4">(C36*$D$53)/$C$53</f>
        <v>10095.265989212441</v>
      </c>
      <c r="E36" s="40"/>
      <c r="F36" s="40"/>
      <c r="G36" s="40"/>
      <c r="H36" s="40"/>
      <c r="I36" s="40"/>
      <c r="J36" s="40"/>
      <c r="K36" s="40"/>
      <c r="L36" s="40"/>
    </row>
    <row r="37" spans="1:12" s="30" customFormat="1" x14ac:dyDescent="0.25">
      <c r="A37" s="32" t="s">
        <v>31</v>
      </c>
      <c r="B37" s="32" t="s">
        <v>30</v>
      </c>
      <c r="C37" s="33">
        <v>163558.6022816957</v>
      </c>
      <c r="D37" s="33">
        <f t="shared" si="4"/>
        <v>90444.685426006967</v>
      </c>
      <c r="E37" s="40"/>
      <c r="F37" s="40"/>
      <c r="G37" s="40"/>
      <c r="H37" s="40"/>
      <c r="I37" s="40"/>
      <c r="J37" s="40"/>
      <c r="K37" s="40"/>
      <c r="L37" s="40"/>
    </row>
    <row r="38" spans="1:12" s="30" customFormat="1" x14ac:dyDescent="0.25">
      <c r="A38" s="31" t="s">
        <v>29</v>
      </c>
      <c r="B38" s="31" t="s">
        <v>28</v>
      </c>
      <c r="C38" s="29">
        <v>2446.4634173309851</v>
      </c>
      <c r="D38" s="33">
        <f t="shared" si="4"/>
        <v>1352.846081465309</v>
      </c>
      <c r="E38" s="40"/>
      <c r="F38" s="40"/>
      <c r="G38" s="40"/>
      <c r="H38" s="40"/>
      <c r="I38" s="40"/>
      <c r="J38" s="40"/>
      <c r="K38" s="40"/>
      <c r="L38" s="40"/>
    </row>
    <row r="39" spans="1:12" s="30" customFormat="1" x14ac:dyDescent="0.25">
      <c r="A39" s="32"/>
      <c r="B39" s="32"/>
      <c r="C39" s="33"/>
      <c r="D39" s="33">
        <f t="shared" si="4"/>
        <v>0</v>
      </c>
      <c r="E39" s="40"/>
      <c r="F39" s="40"/>
      <c r="G39" s="40"/>
      <c r="H39" s="40"/>
      <c r="I39" s="40"/>
      <c r="J39" s="40"/>
      <c r="K39" s="40"/>
      <c r="L39" s="40"/>
    </row>
    <row r="40" spans="1:12" s="30" customFormat="1" x14ac:dyDescent="0.25">
      <c r="A40" s="31" t="s">
        <v>25</v>
      </c>
      <c r="B40" s="31" t="s">
        <v>24</v>
      </c>
      <c r="C40" s="29">
        <v>196589.42672996817</v>
      </c>
      <c r="D40" s="33">
        <f t="shared" si="4"/>
        <v>108710.08073331327</v>
      </c>
      <c r="E40" s="40"/>
      <c r="F40" s="40"/>
      <c r="G40" s="40"/>
      <c r="H40" s="40"/>
      <c r="I40" s="40"/>
      <c r="J40" s="40"/>
      <c r="K40" s="40"/>
      <c r="L40" s="40"/>
    </row>
    <row r="41" spans="1:12" s="30" customFormat="1" x14ac:dyDescent="0.25">
      <c r="A41" s="32"/>
      <c r="B41" s="32"/>
      <c r="C41" s="33"/>
      <c r="D41" s="33">
        <f t="shared" si="4"/>
        <v>0</v>
      </c>
      <c r="E41" s="40"/>
      <c r="F41" s="40"/>
      <c r="G41" s="40"/>
      <c r="H41" s="40"/>
      <c r="I41" s="40"/>
      <c r="J41" s="40"/>
      <c r="K41" s="40"/>
      <c r="L41" s="40"/>
    </row>
    <row r="42" spans="1:12" s="30" customFormat="1" x14ac:dyDescent="0.25">
      <c r="A42" s="31" t="s">
        <v>21</v>
      </c>
      <c r="B42" s="31" t="s">
        <v>20</v>
      </c>
      <c r="C42" s="29">
        <v>25547.225959795738</v>
      </c>
      <c r="D42" s="33">
        <f t="shared" si="4"/>
        <v>14127.112748623869</v>
      </c>
      <c r="E42" s="40"/>
      <c r="F42" s="40"/>
      <c r="G42" s="40"/>
      <c r="H42" s="40"/>
      <c r="I42" s="40"/>
      <c r="J42" s="40"/>
      <c r="K42" s="40"/>
      <c r="L42" s="40"/>
    </row>
    <row r="43" spans="1:12" s="30" customFormat="1" x14ac:dyDescent="0.25">
      <c r="A43" s="32" t="s">
        <v>19</v>
      </c>
      <c r="B43" s="32" t="s">
        <v>18</v>
      </c>
      <c r="C43" s="33">
        <v>301949.0931606954</v>
      </c>
      <c r="D43" s="33">
        <f t="shared" si="4"/>
        <v>166971.90098599586</v>
      </c>
      <c r="E43" s="40"/>
      <c r="F43" s="40"/>
      <c r="G43" s="40"/>
      <c r="H43" s="40"/>
      <c r="I43" s="40"/>
      <c r="J43" s="40"/>
      <c r="K43" s="40"/>
      <c r="L43" s="40"/>
    </row>
    <row r="44" spans="1:12" s="30" customFormat="1" x14ac:dyDescent="0.25">
      <c r="A44" s="31" t="s">
        <v>17</v>
      </c>
      <c r="B44" s="31" t="s">
        <v>16</v>
      </c>
      <c r="C44" s="29">
        <v>1992.2148453703376</v>
      </c>
      <c r="D44" s="33">
        <f t="shared" si="4"/>
        <v>1101.655568566242</v>
      </c>
      <c r="E44" s="40"/>
      <c r="F44" s="40"/>
      <c r="G44" s="40"/>
      <c r="H44" s="40"/>
      <c r="I44" s="40"/>
      <c r="J44" s="40"/>
      <c r="K44" s="40"/>
      <c r="L44" s="40"/>
    </row>
    <row r="45" spans="1:12" s="30" customFormat="1" x14ac:dyDescent="0.25">
      <c r="A45" s="32" t="s">
        <v>15</v>
      </c>
      <c r="B45" s="32" t="s">
        <v>14</v>
      </c>
      <c r="C45" s="33">
        <v>1255.9510204143551</v>
      </c>
      <c r="D45" s="33">
        <f t="shared" si="4"/>
        <v>694.51617565309459</v>
      </c>
      <c r="E45" s="40"/>
      <c r="F45" s="40"/>
      <c r="G45" s="40"/>
      <c r="H45" s="40"/>
      <c r="I45" s="40"/>
      <c r="J45" s="40"/>
      <c r="K45" s="40"/>
      <c r="L45" s="40"/>
    </row>
    <row r="46" spans="1:12" s="30" customFormat="1" x14ac:dyDescent="0.25">
      <c r="A46" s="31" t="s">
        <v>13</v>
      </c>
      <c r="B46" s="31" t="s">
        <v>12</v>
      </c>
      <c r="C46" s="29">
        <v>25088.514359450914</v>
      </c>
      <c r="D46" s="33">
        <f t="shared" si="4"/>
        <v>13873.454268937221</v>
      </c>
      <c r="E46" s="40"/>
      <c r="F46" s="40"/>
      <c r="G46" s="40"/>
      <c r="H46" s="40"/>
      <c r="I46" s="40"/>
      <c r="J46" s="40"/>
      <c r="K46" s="40"/>
      <c r="L46" s="40"/>
    </row>
    <row r="47" spans="1:12" s="30" customFormat="1" x14ac:dyDescent="0.25">
      <c r="A47" s="32"/>
      <c r="B47" s="32"/>
      <c r="C47" s="33"/>
      <c r="D47" s="33">
        <f t="shared" si="4"/>
        <v>0</v>
      </c>
      <c r="E47" s="40"/>
      <c r="F47" s="40"/>
      <c r="G47" s="40"/>
      <c r="H47" s="40"/>
      <c r="I47" s="40"/>
      <c r="J47" s="40"/>
      <c r="K47" s="40"/>
      <c r="L47" s="40"/>
    </row>
    <row r="48" spans="1:12" s="30" customFormat="1" x14ac:dyDescent="0.25">
      <c r="A48" s="31" t="s">
        <v>9</v>
      </c>
      <c r="B48" s="31" t="s">
        <v>8</v>
      </c>
      <c r="C48" s="29">
        <v>6864.6295732047893</v>
      </c>
      <c r="D48" s="33">
        <f t="shared" si="4"/>
        <v>3796.0049404509668</v>
      </c>
      <c r="E48" s="40"/>
      <c r="F48" s="40"/>
      <c r="G48" s="40"/>
      <c r="H48" s="40"/>
      <c r="I48" s="40"/>
      <c r="J48" s="40"/>
      <c r="K48" s="40"/>
      <c r="L48" s="40"/>
    </row>
    <row r="49" spans="1:12" s="30" customFormat="1" x14ac:dyDescent="0.25">
      <c r="A49" s="32" t="s">
        <v>7</v>
      </c>
      <c r="B49" s="32" t="s">
        <v>6</v>
      </c>
      <c r="C49" s="33">
        <v>404341.49887262163</v>
      </c>
      <c r="D49" s="33">
        <f t="shared" si="4"/>
        <v>223592.88450771463</v>
      </c>
      <c r="E49" s="40"/>
      <c r="F49" s="40"/>
      <c r="G49" s="40"/>
      <c r="H49" s="40"/>
      <c r="I49" s="40"/>
      <c r="J49" s="40"/>
      <c r="K49" s="40"/>
      <c r="L49" s="40"/>
    </row>
    <row r="50" spans="1:12" s="30" customFormat="1" x14ac:dyDescent="0.25">
      <c r="A50" s="31"/>
      <c r="B50" s="31"/>
      <c r="C50" s="29"/>
      <c r="D50" s="33">
        <f t="shared" si="4"/>
        <v>0</v>
      </c>
      <c r="E50" s="40"/>
      <c r="F50" s="40"/>
      <c r="G50" s="40"/>
      <c r="H50" s="40"/>
      <c r="I50" s="40"/>
      <c r="J50" s="40"/>
      <c r="K50" s="40"/>
      <c r="L50" s="40"/>
    </row>
    <row r="51" spans="1:12" s="30" customFormat="1" x14ac:dyDescent="0.25">
      <c r="A51" s="32" t="s">
        <v>3</v>
      </c>
      <c r="B51" s="32" t="s">
        <v>2</v>
      </c>
      <c r="C51" s="33">
        <v>2031.8433903509988</v>
      </c>
      <c r="D51" s="33">
        <f t="shared" si="4"/>
        <v>1123.569373371771</v>
      </c>
      <c r="E51" s="40"/>
      <c r="F51" s="40"/>
      <c r="G51" s="40"/>
      <c r="H51" s="40"/>
      <c r="I51" s="40"/>
      <c r="J51" s="40"/>
      <c r="K51" s="40"/>
      <c r="L51" s="40"/>
    </row>
    <row r="52" spans="1:12" s="30" customFormat="1" x14ac:dyDescent="0.25">
      <c r="A52" s="36" t="s">
        <v>1</v>
      </c>
      <c r="B52" s="36" t="s">
        <v>0</v>
      </c>
      <c r="C52" s="37">
        <v>8074.2609176487258</v>
      </c>
      <c r="D52" s="33">
        <f t="shared" si="4"/>
        <v>4464.9072476573028</v>
      </c>
      <c r="E52" s="40"/>
      <c r="F52" s="40"/>
      <c r="G52" s="40"/>
      <c r="H52" s="40"/>
      <c r="I52" s="40"/>
      <c r="J52" s="40"/>
      <c r="K52" s="40"/>
      <c r="L52" s="40"/>
    </row>
    <row r="53" spans="1:12" x14ac:dyDescent="0.25">
      <c r="A53" s="14" t="s">
        <v>43</v>
      </c>
      <c r="B53" s="14"/>
      <c r="C53" s="15">
        <f>SUBTOTAL(109,C35:C52)</f>
        <v>2044541.1783044613</v>
      </c>
      <c r="D53" s="15">
        <f>'2017 HRP Target'!B2</f>
        <v>1130591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6" t="s">
        <v>44</v>
      </c>
      <c r="B54" s="16"/>
      <c r="C54" s="11">
        <f>C53/6</f>
        <v>340756.86305074353</v>
      </c>
      <c r="D54" s="11">
        <f t="shared" ref="D54" si="5">D53/6</f>
        <v>188431.83333333334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9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8.75" x14ac:dyDescent="0.25">
      <c r="A57" s="12" t="s">
        <v>41</v>
      </c>
      <c r="B57" s="13" t="s">
        <v>40</v>
      </c>
      <c r="C57" s="22" t="s">
        <v>42</v>
      </c>
      <c r="D57" s="22" t="s">
        <v>39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26" t="s">
        <v>11</v>
      </c>
      <c r="B58" s="26" t="s">
        <v>10</v>
      </c>
      <c r="C58" s="27">
        <v>1264312.690125369</v>
      </c>
      <c r="D58" s="27">
        <v>648858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4" t="s">
        <v>43</v>
      </c>
      <c r="B59" s="14"/>
      <c r="C59" s="15">
        <f>SUBTOTAL(109,C58:C58)</f>
        <v>1264312.690125369</v>
      </c>
      <c r="D59" s="15">
        <f>SUBTOTAL(109,D58:D58)</f>
        <v>648858</v>
      </c>
    </row>
    <row r="60" spans="1:12" x14ac:dyDescent="0.25">
      <c r="A60" s="16" t="s">
        <v>44</v>
      </c>
      <c r="B60" s="16"/>
      <c r="C60" s="11">
        <f>C59/6</f>
        <v>210718.78168756151</v>
      </c>
      <c r="D60" s="11">
        <f t="shared" ref="D60" si="6">D59/6</f>
        <v>108143</v>
      </c>
    </row>
  </sheetData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2017 HRP Target</vt:lpstr>
      <vt:lpstr>Jan.17</vt:lpstr>
      <vt:lpstr>Feb.17</vt:lpstr>
      <vt:lpstr>Mar.17</vt:lpstr>
      <vt:lpstr>Apr.17</vt:lpstr>
      <vt:lpstr>May.17</vt:lpstr>
      <vt:lpstr>Jun.17</vt:lpstr>
      <vt:lpstr>Jul.17</vt:lpstr>
      <vt:lpstr>Aug.17</vt:lpstr>
      <vt:lpstr>Sept.17</vt:lpstr>
      <vt:lpstr>Oct.17</vt:lpstr>
      <vt:lpstr>Nov.17</vt:lpstr>
      <vt:lpstr>Dec.17</vt:lpstr>
      <vt:lpstr>Consolidated 2017_Response</vt:lpstr>
      <vt:lpstr>PMR May.17</vt:lpstr>
      <vt:lpstr>PMR Jun.17</vt:lpstr>
      <vt:lpstr>PMR Jul.17</vt:lpstr>
      <vt:lpstr>PMR Aug.17</vt:lpstr>
      <vt:lpstr>PMR Sept.17</vt:lpstr>
      <vt:lpstr>PMR Oct.17</vt:lpstr>
      <vt:lpstr>PMR Nov.17</vt:lpstr>
      <vt:lpstr>PMR Dec.17</vt:lpstr>
      <vt:lpstr>Consolidated 2017_PMR </vt:lpstr>
      <vt:lpstr>'Consolidated 2017_Response'!Print_Area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 Michel</dc:creator>
  <cp:lastModifiedBy>TIA Michel</cp:lastModifiedBy>
  <cp:lastPrinted>2017-09-17T06:01:56Z</cp:lastPrinted>
  <dcterms:created xsi:type="dcterms:W3CDTF">2017-03-08T12:09:38Z</dcterms:created>
  <dcterms:modified xsi:type="dcterms:W3CDTF">2018-01-23T10:03:31Z</dcterms:modified>
</cp:coreProperties>
</file>